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/>
  <mc:AlternateContent xmlns:mc="http://schemas.openxmlformats.org/markup-compatibility/2006">
    <mc:Choice Requires="x15">
      <x15ac:absPath xmlns:x15ac="http://schemas.microsoft.com/office/spreadsheetml/2010/11/ac" url="/Users/cbonds/Documents/Шаблоны JS/"/>
    </mc:Choice>
  </mc:AlternateContent>
  <xr:revisionPtr revIDLastSave="0" documentId="13_ncr:1_{F46C7BA3-478F-AC4B-8F39-8B3917518E9D}" xr6:coauthVersionLast="46" xr6:coauthVersionMax="46" xr10:uidLastSave="{00000000-0000-0000-0000-000000000000}"/>
  <bookViews>
    <workbookView xWindow="0" yWindow="500" windowWidth="25600" windowHeight="14340" xr2:uid="{00000000-000D-0000-FFFF-FFFF00000000}"/>
  </bookViews>
  <sheets>
    <sheet name="EMCDSStats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" i="2" l="1"/>
  <c r="E3" i="2" s="1"/>
  <c r="N29" i="2" s="1"/>
  <c r="I8" i="2" l="1"/>
  <c r="K9" i="2"/>
  <c r="J8" i="2"/>
  <c r="E8" i="2"/>
  <c r="L8" i="2"/>
  <c r="I9" i="2"/>
  <c r="D10" i="2"/>
  <c r="E9" i="2"/>
  <c r="D8" i="2"/>
  <c r="F9" i="2"/>
  <c r="F8" i="2"/>
  <c r="N8" i="2"/>
  <c r="J9" i="2"/>
  <c r="F10" i="2"/>
  <c r="I10" i="2"/>
  <c r="N9" i="2"/>
  <c r="M10" i="2"/>
  <c r="H11" i="2"/>
  <c r="E12" i="2"/>
  <c r="L12" i="2"/>
  <c r="H13" i="2"/>
  <c r="E14" i="2"/>
  <c r="K14" i="2"/>
  <c r="G15" i="2"/>
  <c r="D17" i="2"/>
  <c r="K17" i="2"/>
  <c r="F18" i="2"/>
  <c r="N18" i="2"/>
  <c r="J19" i="2"/>
  <c r="F20" i="2"/>
  <c r="N20" i="2"/>
  <c r="I21" i="2"/>
  <c r="L22" i="2"/>
  <c r="H8" i="2"/>
  <c r="M8" i="2"/>
  <c r="G9" i="2"/>
  <c r="M9" i="2"/>
  <c r="G10" i="2"/>
  <c r="N10" i="2"/>
  <c r="K11" i="2"/>
  <c r="G12" i="2"/>
  <c r="M12" i="2"/>
  <c r="J13" i="2"/>
  <c r="F14" i="2"/>
  <c r="M14" i="2"/>
  <c r="J15" i="2"/>
  <c r="E17" i="2"/>
  <c r="L17" i="2"/>
  <c r="I18" i="2"/>
  <c r="E19" i="2"/>
  <c r="K19" i="2"/>
  <c r="H20" i="2"/>
  <c r="D21" i="2"/>
  <c r="K21" i="2"/>
  <c r="I23" i="2"/>
  <c r="F11" i="2"/>
  <c r="L11" i="2"/>
  <c r="H12" i="2"/>
  <c r="E13" i="2"/>
  <c r="L13" i="2"/>
  <c r="G14" i="2"/>
  <c r="D15" i="2"/>
  <c r="K15" i="2"/>
  <c r="G17" i="2"/>
  <c r="D18" i="2"/>
  <c r="J18" i="2"/>
  <c r="F19" i="2"/>
  <c r="N19" i="2"/>
  <c r="J20" i="2"/>
  <c r="E21" i="2"/>
  <c r="M21" i="2"/>
  <c r="J24" i="2"/>
  <c r="K10" i="2"/>
  <c r="G11" i="2"/>
  <c r="N11" i="2"/>
  <c r="K12" i="2"/>
  <c r="F13" i="2"/>
  <c r="M13" i="2"/>
  <c r="J14" i="2"/>
  <c r="F15" i="2"/>
  <c r="L15" i="2"/>
  <c r="I17" i="2"/>
  <c r="E18" i="2"/>
  <c r="L18" i="2"/>
  <c r="I19" i="2"/>
  <c r="D20" i="2"/>
  <c r="K20" i="2"/>
  <c r="H21" i="2"/>
  <c r="E22" i="2"/>
  <c r="D27" i="2"/>
  <c r="H22" i="2"/>
  <c r="E23" i="2"/>
  <c r="M23" i="2"/>
  <c r="G25" i="2"/>
  <c r="L27" i="2"/>
  <c r="F29" i="2"/>
  <c r="D22" i="2"/>
  <c r="J22" i="2"/>
  <c r="G23" i="2"/>
  <c r="F24" i="2"/>
  <c r="K25" i="2"/>
  <c r="E28" i="2"/>
  <c r="J29" i="2"/>
  <c r="I28" i="2"/>
  <c r="N44" i="2"/>
  <c r="J44" i="2"/>
  <c r="F44" i="2"/>
  <c r="M43" i="2"/>
  <c r="I43" i="2"/>
  <c r="E43" i="2"/>
  <c r="L42" i="2"/>
  <c r="H42" i="2"/>
  <c r="D42" i="2"/>
  <c r="K41" i="2"/>
  <c r="G41" i="2"/>
  <c r="N40" i="2"/>
  <c r="J40" i="2"/>
  <c r="F40" i="2"/>
  <c r="M39" i="2"/>
  <c r="I39" i="2"/>
  <c r="E39" i="2"/>
  <c r="L38" i="2"/>
  <c r="H38" i="2"/>
  <c r="D38" i="2"/>
  <c r="K37" i="2"/>
  <c r="G37" i="2"/>
  <c r="N35" i="2"/>
  <c r="J35" i="2"/>
  <c r="F35" i="2"/>
  <c r="M34" i="2"/>
  <c r="I34" i="2"/>
  <c r="E34" i="2"/>
  <c r="L33" i="2"/>
  <c r="H33" i="2"/>
  <c r="D33" i="2"/>
  <c r="K32" i="2"/>
  <c r="G32" i="2"/>
  <c r="N30" i="2"/>
  <c r="J30" i="2"/>
  <c r="F30" i="2"/>
  <c r="M29" i="2"/>
  <c r="I29" i="2"/>
  <c r="E29" i="2"/>
  <c r="L28" i="2"/>
  <c r="H28" i="2"/>
  <c r="D28" i="2"/>
  <c r="K27" i="2"/>
  <c r="G27" i="2"/>
  <c r="N25" i="2"/>
  <c r="J25" i="2"/>
  <c r="F25" i="2"/>
  <c r="M24" i="2"/>
  <c r="I24" i="2"/>
  <c r="E24" i="2"/>
  <c r="L23" i="2"/>
  <c r="H23" i="2"/>
  <c r="D23" i="2"/>
  <c r="K22" i="2"/>
  <c r="G22" i="2"/>
  <c r="N21" i="2"/>
  <c r="J21" i="2"/>
  <c r="F21" i="2"/>
  <c r="M20" i="2"/>
  <c r="I20" i="2"/>
  <c r="E20" i="2"/>
  <c r="L19" i="2"/>
  <c r="H19" i="2"/>
  <c r="D19" i="2"/>
  <c r="K18" i="2"/>
  <c r="G18" i="2"/>
  <c r="N17" i="2"/>
  <c r="J17" i="2"/>
  <c r="F17" i="2"/>
  <c r="M15" i="2"/>
  <c r="I15" i="2"/>
  <c r="E15" i="2"/>
  <c r="L14" i="2"/>
  <c r="H14" i="2"/>
  <c r="D14" i="2"/>
  <c r="K13" i="2"/>
  <c r="G13" i="2"/>
  <c r="N12" i="2"/>
  <c r="J12" i="2"/>
  <c r="F12" i="2"/>
  <c r="M11" i="2"/>
  <c r="I11" i="2"/>
  <c r="E11" i="2"/>
  <c r="L10" i="2"/>
  <c r="H10" i="2"/>
  <c r="M44" i="2"/>
  <c r="I44" i="2"/>
  <c r="E44" i="2"/>
  <c r="L43" i="2"/>
  <c r="H43" i="2"/>
  <c r="D43" i="2"/>
  <c r="K42" i="2"/>
  <c r="G42" i="2"/>
  <c r="N41" i="2"/>
  <c r="J41" i="2"/>
  <c r="F41" i="2"/>
  <c r="M40" i="2"/>
  <c r="I40" i="2"/>
  <c r="E40" i="2"/>
  <c r="L39" i="2"/>
  <c r="H39" i="2"/>
  <c r="D39" i="2"/>
  <c r="K38" i="2"/>
  <c r="G38" i="2"/>
  <c r="N37" i="2"/>
  <c r="J37" i="2"/>
  <c r="F37" i="2"/>
  <c r="M35" i="2"/>
  <c r="I35" i="2"/>
  <c r="E35" i="2"/>
  <c r="L34" i="2"/>
  <c r="H34" i="2"/>
  <c r="D34" i="2"/>
  <c r="K33" i="2"/>
  <c r="G33" i="2"/>
  <c r="N32" i="2"/>
  <c r="J32" i="2"/>
  <c r="F32" i="2"/>
  <c r="M30" i="2"/>
  <c r="I30" i="2"/>
  <c r="E30" i="2"/>
  <c r="L29" i="2"/>
  <c r="H29" i="2"/>
  <c r="D29" i="2"/>
  <c r="K28" i="2"/>
  <c r="G28" i="2"/>
  <c r="N27" i="2"/>
  <c r="J27" i="2"/>
  <c r="F27" i="2"/>
  <c r="M25" i="2"/>
  <c r="I25" i="2"/>
  <c r="E25" i="2"/>
  <c r="L24" i="2"/>
  <c r="H24" i="2"/>
  <c r="D24" i="2"/>
  <c r="L44" i="2"/>
  <c r="H44" i="2"/>
  <c r="D44" i="2"/>
  <c r="K43" i="2"/>
  <c r="G43" i="2"/>
  <c r="N42" i="2"/>
  <c r="J42" i="2"/>
  <c r="F42" i="2"/>
  <c r="M41" i="2"/>
  <c r="I41" i="2"/>
  <c r="E41" i="2"/>
  <c r="L40" i="2"/>
  <c r="H40" i="2"/>
  <c r="D40" i="2"/>
  <c r="K39" i="2"/>
  <c r="G39" i="2"/>
  <c r="N38" i="2"/>
  <c r="J38" i="2"/>
  <c r="F38" i="2"/>
  <c r="M37" i="2"/>
  <c r="I37" i="2"/>
  <c r="E37" i="2"/>
  <c r="L35" i="2"/>
  <c r="H35" i="2"/>
  <c r="D35" i="2"/>
  <c r="K34" i="2"/>
  <c r="G34" i="2"/>
  <c r="N33" i="2"/>
  <c r="J33" i="2"/>
  <c r="F33" i="2"/>
  <c r="M32" i="2"/>
  <c r="I32" i="2"/>
  <c r="E32" i="2"/>
  <c r="L30" i="2"/>
  <c r="H30" i="2"/>
  <c r="D30" i="2"/>
  <c r="K29" i="2"/>
  <c r="G29" i="2"/>
  <c r="N28" i="2"/>
  <c r="J28" i="2"/>
  <c r="F28" i="2"/>
  <c r="M27" i="2"/>
  <c r="I27" i="2"/>
  <c r="E27" i="2"/>
  <c r="L25" i="2"/>
  <c r="H25" i="2"/>
  <c r="D25" i="2"/>
  <c r="K24" i="2"/>
  <c r="G24" i="2"/>
  <c r="N23" i="2"/>
  <c r="J23" i="2"/>
  <c r="F23" i="2"/>
  <c r="M22" i="2"/>
  <c r="I22" i="2"/>
  <c r="K44" i="2"/>
  <c r="G44" i="2"/>
  <c r="N43" i="2"/>
  <c r="J43" i="2"/>
  <c r="F43" i="2"/>
  <c r="M42" i="2"/>
  <c r="I42" i="2"/>
  <c r="E42" i="2"/>
  <c r="L41" i="2"/>
  <c r="H41" i="2"/>
  <c r="D41" i="2"/>
  <c r="K40" i="2"/>
  <c r="G40" i="2"/>
  <c r="N39" i="2"/>
  <c r="J39" i="2"/>
  <c r="F39" i="2"/>
  <c r="M38" i="2"/>
  <c r="I38" i="2"/>
  <c r="E38" i="2"/>
  <c r="L37" i="2"/>
  <c r="H37" i="2"/>
  <c r="D37" i="2"/>
  <c r="K35" i="2"/>
  <c r="G35" i="2"/>
  <c r="N34" i="2"/>
  <c r="J34" i="2"/>
  <c r="F34" i="2"/>
  <c r="M33" i="2"/>
  <c r="I33" i="2"/>
  <c r="E33" i="2"/>
  <c r="L32" i="2"/>
  <c r="H32" i="2"/>
  <c r="D32" i="2"/>
  <c r="K30" i="2"/>
  <c r="G8" i="2"/>
  <c r="K8" i="2"/>
  <c r="D9" i="2"/>
  <c r="H9" i="2"/>
  <c r="L9" i="2"/>
  <c r="E10" i="2"/>
  <c r="J10" i="2"/>
  <c r="D11" i="2"/>
  <c r="J11" i="2"/>
  <c r="D12" i="2"/>
  <c r="I12" i="2"/>
  <c r="D13" i="2"/>
  <c r="I13" i="2"/>
  <c r="N13" i="2"/>
  <c r="I14" i="2"/>
  <c r="N14" i="2"/>
  <c r="H15" i="2"/>
  <c r="N15" i="2"/>
  <c r="H17" i="2"/>
  <c r="M17" i="2"/>
  <c r="H18" i="2"/>
  <c r="M18" i="2"/>
  <c r="G19" i="2"/>
  <c r="M19" i="2"/>
  <c r="G20" i="2"/>
  <c r="L20" i="2"/>
  <c r="G21" i="2"/>
  <c r="L21" i="2"/>
  <c r="F22" i="2"/>
  <c r="N22" i="2"/>
  <c r="K23" i="2"/>
  <c r="N24" i="2"/>
  <c r="H27" i="2"/>
  <c r="M28" i="2"/>
  <c r="G30" i="2"/>
  <c r="H2" i="2"/>
  <c r="H3" i="2"/>
  <c r="G2" i="2"/>
  <c r="G3" i="2"/>
  <c r="F3" i="2"/>
  <c r="F2" i="2"/>
</calcChain>
</file>

<file path=xl/sharedStrings.xml><?xml version="1.0" encoding="utf-8"?>
<sst xmlns="http://schemas.openxmlformats.org/spreadsheetml/2006/main" count="54" uniqueCount="54">
  <si>
    <t>pro@cbonds.info</t>
  </si>
  <si>
    <t>support:</t>
  </si>
  <si>
    <t>CIS</t>
  </si>
  <si>
    <t>Country</t>
  </si>
  <si>
    <t>6M</t>
  </si>
  <si>
    <t>1Y</t>
  </si>
  <si>
    <t>2Y</t>
  </si>
  <si>
    <t>3Y</t>
  </si>
  <si>
    <t>4Y</t>
  </si>
  <si>
    <t>5Y</t>
  </si>
  <si>
    <t>7Y</t>
  </si>
  <si>
    <t>10Y</t>
  </si>
  <si>
    <t>15Y</t>
  </si>
  <si>
    <t>20Y</t>
  </si>
  <si>
    <t>30Y</t>
  </si>
  <si>
    <t>Brasil</t>
  </si>
  <si>
    <t>India</t>
  </si>
  <si>
    <t>Indonesia</t>
  </si>
  <si>
    <t>China</t>
  </si>
  <si>
    <t>Korea</t>
  </si>
  <si>
    <t>Malaysia</t>
  </si>
  <si>
    <t>Mexico</t>
  </si>
  <si>
    <t>Russia</t>
  </si>
  <si>
    <t>Turkey</t>
  </si>
  <si>
    <t>Saudi Arabia</t>
  </si>
  <si>
    <t>South Africa</t>
  </si>
  <si>
    <t>Daily indices</t>
  </si>
  <si>
    <t>LatAm</t>
  </si>
  <si>
    <t>Chile</t>
  </si>
  <si>
    <t>Colombia</t>
  </si>
  <si>
    <t>Ecuador</t>
  </si>
  <si>
    <t>Dominican Republic</t>
  </si>
  <si>
    <t>Panama</t>
  </si>
  <si>
    <t>Hong Kong</t>
  </si>
  <si>
    <t>Phillippines</t>
  </si>
  <si>
    <t>Singapore</t>
  </si>
  <si>
    <t>EM countries CDS: statistical information</t>
  </si>
  <si>
    <t>Belarus</t>
  </si>
  <si>
    <t>Kazakhstan</t>
  </si>
  <si>
    <t>Ukraine</t>
  </si>
  <si>
    <t>Pakistan</t>
  </si>
  <si>
    <t>CEE</t>
  </si>
  <si>
    <t>Croatia</t>
  </si>
  <si>
    <t>Poland</t>
  </si>
  <si>
    <t>Slovakia</t>
  </si>
  <si>
    <t>Middle East &amp; Africa</t>
  </si>
  <si>
    <t>United Arab Emirates</t>
  </si>
  <si>
    <t>Egypt</t>
  </si>
  <si>
    <t>Israel</t>
  </si>
  <si>
    <t>Kuwait</t>
  </si>
  <si>
    <t>Oman</t>
  </si>
  <si>
    <t>Qatar</t>
  </si>
  <si>
    <t xml:space="preserve"> Asia</t>
  </si>
  <si>
    <t>Costa 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</si>
</sst>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0"/>
      <color rgb="FFFFFFFF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1F4E7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medium">
        <color rgb="FFBFBFBF"/>
      </top>
      <bottom style="medium">
        <color rgb="FFBFBFBF"/>
      </bottom>
      <diagonal/>
    </border>
  </borders>
  <cellStyleXfs count="8">
    <xf numFmtId="0" fontId="0" fillId="0" borderId="0"/>
    <xf numFmtId="0" fontId="1" fillId="0" borderId="0">
      <alignment horizontal="left" vertical="center"/>
    </xf>
    <xf numFmtId="0" fontId="2" fillId="0" borderId="0" applyNumberFormat="0" applyFill="0" applyBorder="0" applyAlignment="0" applyProtection="0"/>
    <xf numFmtId="0" fontId="3" fillId="0" borderId="0">
      <alignment horizontal="left" vertical="center"/>
    </xf>
    <xf numFmtId="0" fontId="4" fillId="2" borderId="0">
      <alignment horizontal="center" vertical="center"/>
    </xf>
    <xf numFmtId="0" fontId="5" fillId="0" borderId="0">
      <alignment horizontal="left" vertical="center"/>
    </xf>
    <xf numFmtId="0" fontId="1" fillId="3" borderId="0">
      <alignment horizontal="left" vertical="center"/>
    </xf>
    <xf numFmtId="164" fontId="7" fillId="0" borderId="0" applyFont="0" applyFill="0" applyBorder="0" applyAlignment="0" applyProtection="0"/>
  </cellStyleXfs>
  <cellXfs count="47">
    <xf numFmtId="0" fontId="0" fillId="0" borderId="0" xfId="0"/>
    <xf numFmtId="0" fontId="4" fillId="2" borderId="0" xfId="4" applyAlignment="1">
      <alignment horizontal="left" vertical="center"/>
    </xf>
    <xf numFmtId="0" fontId="5" fillId="0" borderId="1" xfId="5" applyBorder="1">
      <alignment horizontal="left" vertical="center"/>
    </xf>
    <xf numFmtId="0" fontId="1" fillId="3" borderId="0" xfId="6" applyAlignment="1">
      <alignment horizontal="right" vertical="center"/>
    </xf>
    <xf numFmtId="0" fontId="1" fillId="0" borderId="0" xfId="1" applyAlignment="1">
      <alignment horizontal="right" vertical="center"/>
    </xf>
    <xf numFmtId="0" fontId="4" fillId="2" borderId="0" xfId="4" applyAlignment="1">
      <alignment horizontal="center" vertical="center"/>
    </xf>
    <xf numFmtId="0" fontId="4" fillId="2" borderId="0" xfId="4" applyAlignment="1">
      <alignment horizontal="center" vertical="center" wrapText="1"/>
    </xf>
    <xf numFmtId="14" fontId="4" fillId="2" borderId="0" xfId="4" applyNumberFormat="1" applyAlignment="1">
      <alignment horizontal="center" vertical="center" wrapText="1"/>
    </xf>
    <xf numFmtId="0" fontId="1" fillId="3" borderId="0" xfId="6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0" applyFont="1"/>
    <xf numFmtId="14" fontId="4" fillId="2" borderId="0" xfId="4" applyNumberFormat="1" applyFont="1" applyAlignment="1">
      <alignment horizontal="center" vertical="center" wrapText="1"/>
    </xf>
    <xf numFmtId="0" fontId="1" fillId="0" borderId="0" xfId="1" applyAlignment="1">
      <alignment horizontal="left" vertical="center" indent="2"/>
    </xf>
    <xf numFmtId="0" fontId="0" fillId="4" borderId="0" xfId="0" applyFill="1"/>
    <xf numFmtId="0" fontId="9" fillId="0" borderId="0" xfId="0" applyFont="1"/>
    <xf numFmtId="0" fontId="1" fillId="4" borderId="0" xfId="1" applyFill="1" applyAlignment="1">
      <alignment horizontal="left" vertical="center" indent="2"/>
    </xf>
    <xf numFmtId="0" fontId="1" fillId="4" borderId="0" xfId="6" applyFill="1" applyAlignment="1">
      <alignment horizontal="left" vertical="center" indent="2"/>
    </xf>
    <xf numFmtId="0" fontId="10" fillId="0" borderId="0" xfId="0" applyFont="1"/>
    <xf numFmtId="0" fontId="8" fillId="4" borderId="0" xfId="0" applyFont="1" applyFill="1"/>
    <xf numFmtId="4" fontId="1" fillId="4" borderId="0" xfId="6" applyNumberFormat="1" applyFill="1" applyAlignment="1">
      <alignment horizontal="right" vertical="center"/>
    </xf>
    <xf numFmtId="4" fontId="5" fillId="4" borderId="0" xfId="6" applyNumberFormat="1" applyFont="1" applyFill="1" applyAlignment="1">
      <alignment horizontal="right" vertical="center"/>
    </xf>
    <xf numFmtId="4" fontId="1" fillId="3" borderId="0" xfId="6" applyNumberFormat="1" applyAlignment="1">
      <alignment horizontal="right" vertical="center"/>
    </xf>
    <xf numFmtId="0" fontId="10" fillId="4" borderId="0" xfId="0" applyFont="1" applyFill="1"/>
    <xf numFmtId="0" fontId="12" fillId="4" borderId="0" xfId="6" applyFont="1" applyFill="1" applyAlignment="1">
      <alignment horizontal="left" vertical="center"/>
    </xf>
    <xf numFmtId="0" fontId="13" fillId="4" borderId="0" xfId="6" applyFont="1" applyFill="1" applyAlignment="1">
      <alignment horizontal="right" vertical="center"/>
    </xf>
    <xf numFmtId="0" fontId="13" fillId="4" borderId="0" xfId="6" applyFont="1" applyFill="1" applyAlignment="1">
      <alignment horizontal="center" vertical="center"/>
    </xf>
    <xf numFmtId="4" fontId="13" fillId="4" borderId="0" xfId="6" applyNumberFormat="1" applyFont="1" applyFill="1" applyAlignment="1">
      <alignment horizontal="right" vertical="center"/>
    </xf>
    <xf numFmtId="0" fontId="11" fillId="4" borderId="0" xfId="0" applyFont="1" applyFill="1"/>
    <xf numFmtId="0" fontId="11" fillId="0" borderId="0" xfId="0" applyFont="1"/>
    <xf numFmtId="0" fontId="13" fillId="4" borderId="0" xfId="1" applyFont="1" applyFill="1" applyAlignment="1">
      <alignment horizontal="left" vertical="center" indent="1"/>
    </xf>
    <xf numFmtId="165" fontId="11" fillId="4" borderId="0" xfId="7" applyNumberFormat="1" applyFont="1" applyFill="1"/>
    <xf numFmtId="0" fontId="13" fillId="4" borderId="0" xfId="6" applyFont="1" applyFill="1" applyAlignment="1">
      <alignment horizontal="left" vertical="center" indent="1"/>
    </xf>
    <xf numFmtId="165" fontId="11" fillId="4" borderId="0" xfId="0" applyNumberFormat="1" applyFont="1" applyFill="1"/>
    <xf numFmtId="0" fontId="14" fillId="0" borderId="0" xfId="3" applyFont="1">
      <alignment horizontal="left" vertical="center"/>
    </xf>
    <xf numFmtId="0" fontId="1" fillId="0" borderId="0" xfId="1" applyFont="1" applyAlignment="1">
      <alignment horizontal="right" vertical="center" wrapText="1"/>
    </xf>
    <xf numFmtId="3" fontId="15" fillId="4" borderId="0" xfId="0" applyNumberFormat="1" applyFont="1" applyFill="1"/>
    <xf numFmtId="165" fontId="11" fillId="0" borderId="0" xfId="0" applyNumberFormat="1" applyFont="1"/>
    <xf numFmtId="0" fontId="13" fillId="4" borderId="0" xfId="1" applyFont="1" applyFill="1" applyAlignment="1">
      <alignment horizontal="left" vertical="center" indent="2"/>
    </xf>
    <xf numFmtId="0" fontId="13" fillId="4" borderId="0" xfId="6" applyFont="1" applyFill="1" applyAlignment="1">
      <alignment horizontal="left" vertical="center" indent="2"/>
    </xf>
    <xf numFmtId="14" fontId="14" fillId="0" borderId="0" xfId="0" applyNumberFormat="1" applyFont="1" applyAlignment="1">
      <alignment horizontal="center" vertical="center"/>
    </xf>
    <xf numFmtId="0" fontId="8" fillId="0" borderId="0" xfId="0" applyFont="1"/>
    <xf numFmtId="0" fontId="1" fillId="3" borderId="0" xfId="6" applyFont="1" applyAlignment="1">
      <alignment horizontal="left" vertical="center" indent="2"/>
    </xf>
    <xf numFmtId="0" fontId="5" fillId="0" borderId="0" xfId="5" applyBorder="1">
      <alignment horizontal="left" vertical="center"/>
    </xf>
    <xf numFmtId="0" fontId="5" fillId="0" borderId="0" xfId="5" applyBorder="1" applyAlignment="1">
      <alignment horizontal="left" vertical="center" indent="1"/>
    </xf>
    <xf numFmtId="0" fontId="5" fillId="3" borderId="0" xfId="6" applyFont="1" applyAlignment="1">
      <alignment horizontal="left" vertical="center" indent="1"/>
    </xf>
    <xf numFmtId="14" fontId="8" fillId="0" borderId="0" xfId="0" applyNumberFormat="1" applyFont="1"/>
    <xf numFmtId="0" fontId="2" fillId="0" borderId="0" xfId="2" applyAlignment="1">
      <alignment horizontal="left" vertical="center"/>
    </xf>
  </cellXfs>
  <cellStyles count="8">
    <cellStyle name="Гиперссылка" xfId="2" builtinId="8"/>
    <cellStyle name="Обычный" xfId="0" builtinId="0"/>
    <cellStyle name="Финансовый" xfId="7" builtinId="3"/>
    <cellStyle name="CbondsStyleFour" xfId="5" xr:uid="{00000000-0005-0000-0000-000000000000}"/>
    <cellStyle name="CbondsStyleHeader" xfId="3" xr:uid="{00000000-0005-0000-0000-000001000000}"/>
    <cellStyle name="CbondsStyleOne" xfId="1" xr:uid="{00000000-0005-0000-0000-000002000000}"/>
    <cellStyle name="CbondsStyleThree" xfId="4" xr:uid="{00000000-0005-0000-0000-000003000000}"/>
    <cellStyle name="CbondsStyleTwo" xfId="6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LatAm </a:t>
            </a:r>
            <a:r>
              <a:rPr lang="ru-RU"/>
              <a:t>С</a:t>
            </a:r>
            <a:r>
              <a:rPr lang="en-US"/>
              <a:t>DS (w/o Ecuador) as of 24.07.2020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EMCDSStats!$A$8</c:f>
              <c:strCache>
                <c:ptCount val="1"/>
                <c:pt idx="0">
                  <c:v>Brasil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EMCDSStats!$D$8:$N$8</c:f>
              <c:numCache>
                <c:formatCode>#,##0.00</c:formatCode>
                <c:ptCount val="11"/>
                <c:pt idx="0">
                  <c:v>54.13</c:v>
                </c:pt>
                <c:pt idx="1">
                  <c:v>73.709999999999994</c:v>
                </c:pt>
                <c:pt idx="2">
                  <c:v>100.55</c:v>
                </c:pt>
                <c:pt idx="3">
                  <c:v>131.76</c:v>
                </c:pt>
                <c:pt idx="4">
                  <c:v>162.51</c:v>
                </c:pt>
                <c:pt idx="5">
                  <c:v>187.33</c:v>
                </c:pt>
                <c:pt idx="6">
                  <c:v>230.33</c:v>
                </c:pt>
                <c:pt idx="7">
                  <c:v>267.31</c:v>
                </c:pt>
                <c:pt idx="8">
                  <c:v>292.36</c:v>
                </c:pt>
                <c:pt idx="9">
                  <c:v>304.63</c:v>
                </c:pt>
                <c:pt idx="10">
                  <c:v>314.97000000000003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EMCDSStats!$A$9</c:f>
              <c:strCache>
                <c:ptCount val="1"/>
                <c:pt idx="0">
                  <c:v>Chile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EMCDSStats!$D$9:$N$9</c:f>
              <c:numCache>
                <c:formatCode>#,##0.00</c:formatCode>
                <c:ptCount val="11"/>
                <c:pt idx="0">
                  <c:v>7.77</c:v>
                </c:pt>
                <c:pt idx="1">
                  <c:v>11.25</c:v>
                </c:pt>
                <c:pt idx="2">
                  <c:v>16.47</c:v>
                </c:pt>
                <c:pt idx="3">
                  <c:v>25</c:v>
                </c:pt>
                <c:pt idx="4">
                  <c:v>36.909999999999997</c:v>
                </c:pt>
                <c:pt idx="5">
                  <c:v>48.43</c:v>
                </c:pt>
                <c:pt idx="6">
                  <c:v>67.319999999999993</c:v>
                </c:pt>
                <c:pt idx="7">
                  <c:v>86.41</c:v>
                </c:pt>
                <c:pt idx="8">
                  <c:v>103.82</c:v>
                </c:pt>
                <c:pt idx="9">
                  <c:v>112.35</c:v>
                </c:pt>
                <c:pt idx="10">
                  <c:v>120.08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B8-41D1-B5A9-09CBA004C470}"/>
            </c:ext>
          </c:extLst>
        </c:ser>
        <c:ser>
          <c:idx val="2"/>
          <c:order val="2"/>
          <c:tx>
            <c:strRef>
              <c:f>EMCDSStats!$A$10</c:f>
              <c:strCache>
                <c:ptCount val="1"/>
                <c:pt idx="0">
                  <c:v>Colombia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EMCDSStats!$D$10:$N$10</c:f>
              <c:numCache>
                <c:formatCode>#,##0.00</c:formatCode>
                <c:ptCount val="11"/>
                <c:pt idx="0">
                  <c:v>23.81</c:v>
                </c:pt>
                <c:pt idx="1">
                  <c:v>34.83</c:v>
                </c:pt>
                <c:pt idx="2">
                  <c:v>48.05</c:v>
                </c:pt>
                <c:pt idx="3">
                  <c:v>65.319999999999993</c:v>
                </c:pt>
                <c:pt idx="4">
                  <c:v>85.97</c:v>
                </c:pt>
                <c:pt idx="5">
                  <c:v>104.93</c:v>
                </c:pt>
                <c:pt idx="6">
                  <c:v>139.66</c:v>
                </c:pt>
                <c:pt idx="7">
                  <c:v>170.75</c:v>
                </c:pt>
                <c:pt idx="8">
                  <c:v>197.63</c:v>
                </c:pt>
                <c:pt idx="9">
                  <c:v>209.16</c:v>
                </c:pt>
                <c:pt idx="10">
                  <c:v>218.34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6B8-41D1-B5A9-09CBA004C470}"/>
            </c:ext>
          </c:extLst>
        </c:ser>
        <c:ser>
          <c:idx val="3"/>
          <c:order val="3"/>
          <c:tx>
            <c:strRef>
              <c:f>EMCDSStats!$A$11</c:f>
              <c:strCache>
                <c:ptCount val="1"/>
                <c:pt idx="0">
                  <c:v>Costa Rica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EMCDSStats!$D$11:$N$11</c:f>
              <c:numCache>
                <c:formatCode>#,##0.00</c:formatCode>
                <c:ptCount val="11"/>
                <c:pt idx="0">
                  <c:v>122.34</c:v>
                </c:pt>
                <c:pt idx="1">
                  <c:v>135.59</c:v>
                </c:pt>
                <c:pt idx="2">
                  <c:v>204.51</c:v>
                </c:pt>
                <c:pt idx="3">
                  <c:v>280.75</c:v>
                </c:pt>
                <c:pt idx="4">
                  <c:v>354.95</c:v>
                </c:pt>
                <c:pt idx="5">
                  <c:v>408.98</c:v>
                </c:pt>
                <c:pt idx="6">
                  <c:v>444.02</c:v>
                </c:pt>
                <c:pt idx="7">
                  <c:v>447.98</c:v>
                </c:pt>
                <c:pt idx="8">
                  <c:v>441.64</c:v>
                </c:pt>
                <c:pt idx="9">
                  <c:v>435.59</c:v>
                </c:pt>
                <c:pt idx="10">
                  <c:v>425.67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B8-41D1-B5A9-09CBA004C470}"/>
            </c:ext>
          </c:extLst>
        </c:ser>
        <c:ser>
          <c:idx val="4"/>
          <c:order val="4"/>
          <c:tx>
            <c:strRef>
              <c:f>EMCDSStats!$A$12</c:f>
              <c:strCache>
                <c:ptCount val="1"/>
                <c:pt idx="0">
                  <c:v>Dominican Republic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EMCDSStats!$D$12:$N$12</c:f>
              <c:numCache>
                <c:formatCode>#,##0.00</c:formatCode>
                <c:ptCount val="11"/>
                <c:pt idx="0">
                  <c:v>76.61</c:v>
                </c:pt>
                <c:pt idx="1">
                  <c:v>98.12</c:v>
                </c:pt>
                <c:pt idx="2">
                  <c:v>145.34</c:v>
                </c:pt>
                <c:pt idx="3">
                  <c:v>191.73</c:v>
                </c:pt>
                <c:pt idx="4">
                  <c:v>237.63</c:v>
                </c:pt>
                <c:pt idx="5">
                  <c:v>284.35000000000002</c:v>
                </c:pt>
                <c:pt idx="6">
                  <c:v>355.87</c:v>
                </c:pt>
                <c:pt idx="7">
                  <c:v>414.97</c:v>
                </c:pt>
                <c:pt idx="8">
                  <c:v>449.68</c:v>
                </c:pt>
                <c:pt idx="9">
                  <c:v>457.73</c:v>
                </c:pt>
                <c:pt idx="10">
                  <c:v>458.81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B8-41D1-B5A9-09CBA004C470}"/>
            </c:ext>
          </c:extLst>
        </c:ser>
        <c:ser>
          <c:idx val="6"/>
          <c:order val="5"/>
          <c:tx>
            <c:strRef>
              <c:f>EMCDSStats!$A$14</c:f>
              <c:strCache>
                <c:ptCount val="1"/>
                <c:pt idx="0">
                  <c:v>Mexico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EMCDSStats!$D$14:$N$14</c:f>
              <c:numCache>
                <c:formatCode>#,##0.00</c:formatCode>
                <c:ptCount val="11"/>
                <c:pt idx="0">
                  <c:v>19.84</c:v>
                </c:pt>
                <c:pt idx="1">
                  <c:v>28.67</c:v>
                </c:pt>
                <c:pt idx="2">
                  <c:v>39.04</c:v>
                </c:pt>
                <c:pt idx="3">
                  <c:v>52.08</c:v>
                </c:pt>
                <c:pt idx="4">
                  <c:v>71.260000000000005</c:v>
                </c:pt>
                <c:pt idx="5">
                  <c:v>92.3</c:v>
                </c:pt>
                <c:pt idx="6">
                  <c:v>125.17</c:v>
                </c:pt>
                <c:pt idx="7">
                  <c:v>154.13</c:v>
                </c:pt>
                <c:pt idx="8">
                  <c:v>180.64</c:v>
                </c:pt>
                <c:pt idx="9">
                  <c:v>194.96</c:v>
                </c:pt>
                <c:pt idx="10">
                  <c:v>208.01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6B8-41D1-B5A9-09CBA004C470}"/>
            </c:ext>
          </c:extLst>
        </c:ser>
        <c:ser>
          <c:idx val="7"/>
          <c:order val="6"/>
          <c:tx>
            <c:strRef>
              <c:f>EMCDSStats!$A$15</c:f>
              <c:strCache>
                <c:ptCount val="1"/>
                <c:pt idx="0">
                  <c:v>Panama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EMCDSStats!$D$15:$N$15</c:f>
              <c:numCache>
                <c:formatCode>#,##0.00</c:formatCode>
                <c:ptCount val="11"/>
                <c:pt idx="0">
                  <c:v>14.64</c:v>
                </c:pt>
                <c:pt idx="1">
                  <c:v>18.309999999999999</c:v>
                </c:pt>
                <c:pt idx="2">
                  <c:v>25.18</c:v>
                </c:pt>
                <c:pt idx="3">
                  <c:v>36.909999999999997</c:v>
                </c:pt>
                <c:pt idx="4">
                  <c:v>52.6</c:v>
                </c:pt>
                <c:pt idx="5">
                  <c:v>67.84</c:v>
                </c:pt>
                <c:pt idx="6">
                  <c:v>92.68</c:v>
                </c:pt>
                <c:pt idx="7">
                  <c:v>114.47</c:v>
                </c:pt>
                <c:pt idx="8">
                  <c:v>128.57</c:v>
                </c:pt>
                <c:pt idx="9">
                  <c:v>133.37</c:v>
                </c:pt>
                <c:pt idx="10">
                  <c:v>136.38999999999999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8A6-49D4-857B-913F60D28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  <c:min val="-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Ecuador </a:t>
            </a:r>
            <a:r>
              <a:rPr lang="ru-RU"/>
              <a:t>С</a:t>
            </a:r>
            <a:r>
              <a:rPr lang="en-US"/>
              <a:t>DS as of 24.07.2020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EMCDSStats!$A$13</c:f>
              <c:strCache>
                <c:ptCount val="1"/>
                <c:pt idx="0">
                  <c:v>Ecuador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EMCDSStats!$D$13:$N$13</c:f>
              <c:numCache>
                <c:formatCode>#,##0.00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  <c:max val="30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12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EMCDSStats!$F$2</c:f>
          <c:strCache>
            <c:ptCount val="1"/>
            <c:pt idx="0">
              <c:v>Asia СDS as of 11.03.2021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EMCDSStats!$A$17</c:f>
              <c:strCache>
                <c:ptCount val="1"/>
                <c:pt idx="0">
                  <c:v>China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EMCDSStats!$D$17:$N$17</c:f>
              <c:numCache>
                <c:formatCode>#,##0.00</c:formatCode>
                <c:ptCount val="11"/>
                <c:pt idx="0">
                  <c:v>5.05</c:v>
                </c:pt>
                <c:pt idx="1">
                  <c:v>6.58</c:v>
                </c:pt>
                <c:pt idx="2">
                  <c:v>9.8699999999999992</c:v>
                </c:pt>
                <c:pt idx="3">
                  <c:v>15.54</c:v>
                </c:pt>
                <c:pt idx="4">
                  <c:v>23.38</c:v>
                </c:pt>
                <c:pt idx="5">
                  <c:v>32.450000000000003</c:v>
                </c:pt>
                <c:pt idx="6">
                  <c:v>47.23</c:v>
                </c:pt>
                <c:pt idx="7">
                  <c:v>63.34</c:v>
                </c:pt>
                <c:pt idx="8">
                  <c:v>79.13</c:v>
                </c:pt>
                <c:pt idx="9">
                  <c:v>88.5</c:v>
                </c:pt>
                <c:pt idx="10">
                  <c:v>98.41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EMCDSStats!$A$18</c:f>
              <c:strCache>
                <c:ptCount val="1"/>
                <c:pt idx="0">
                  <c:v>Hong Kong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EMCDSStats!$D$18:$N$18</c:f>
              <c:numCache>
                <c:formatCode>#,##0.00</c:formatCode>
                <c:ptCount val="11"/>
                <c:pt idx="0">
                  <c:v>3.52</c:v>
                </c:pt>
                <c:pt idx="1">
                  <c:v>4.17</c:v>
                </c:pt>
                <c:pt idx="2">
                  <c:v>9.69</c:v>
                </c:pt>
                <c:pt idx="3">
                  <c:v>14.69</c:v>
                </c:pt>
                <c:pt idx="4">
                  <c:v>22.75</c:v>
                </c:pt>
                <c:pt idx="5">
                  <c:v>30.32</c:v>
                </c:pt>
                <c:pt idx="6">
                  <c:v>41.61</c:v>
                </c:pt>
                <c:pt idx="7">
                  <c:v>53.25</c:v>
                </c:pt>
                <c:pt idx="8">
                  <c:v>63.45</c:v>
                </c:pt>
                <c:pt idx="9">
                  <c:v>68.010000000000005</c:v>
                </c:pt>
                <c:pt idx="10">
                  <c:v>72.28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07-41CF-B1AE-192353535F72}"/>
            </c:ext>
          </c:extLst>
        </c:ser>
        <c:ser>
          <c:idx val="2"/>
          <c:order val="2"/>
          <c:tx>
            <c:strRef>
              <c:f>EMCDSStats!$A$19</c:f>
              <c:strCache>
                <c:ptCount val="1"/>
                <c:pt idx="0">
                  <c:v>India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EMCDSStats!$D$19:$N$19</c:f>
              <c:numCache>
                <c:formatCode>#,##0.00</c:formatCode>
                <c:ptCount val="11"/>
                <c:pt idx="0">
                  <c:v>20.100000000000001</c:v>
                </c:pt>
                <c:pt idx="1">
                  <c:v>23.01</c:v>
                </c:pt>
                <c:pt idx="2">
                  <c:v>38.979999999999997</c:v>
                </c:pt>
                <c:pt idx="3">
                  <c:v>53.75</c:v>
                </c:pt>
                <c:pt idx="4">
                  <c:v>70.14</c:v>
                </c:pt>
                <c:pt idx="5">
                  <c:v>87.05</c:v>
                </c:pt>
                <c:pt idx="6">
                  <c:v>121.53</c:v>
                </c:pt>
                <c:pt idx="7">
                  <c:v>160.16</c:v>
                </c:pt>
                <c:pt idx="8">
                  <c:v>196.92</c:v>
                </c:pt>
                <c:pt idx="9">
                  <c:v>216.52</c:v>
                </c:pt>
                <c:pt idx="10">
                  <c:v>235.26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07-41CF-B1AE-192353535F72}"/>
            </c:ext>
          </c:extLst>
        </c:ser>
        <c:ser>
          <c:idx val="3"/>
          <c:order val="3"/>
          <c:tx>
            <c:strRef>
              <c:f>EMCDSStats!$A$20</c:f>
              <c:strCache>
                <c:ptCount val="1"/>
                <c:pt idx="0">
                  <c:v>Indonesia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EMCDSStats!$D$20:$N$20</c:f>
              <c:numCache>
                <c:formatCode>#,##0.00</c:formatCode>
                <c:ptCount val="11"/>
                <c:pt idx="0">
                  <c:v>16.98</c:v>
                </c:pt>
                <c:pt idx="1">
                  <c:v>18.45</c:v>
                </c:pt>
                <c:pt idx="2">
                  <c:v>29.97</c:v>
                </c:pt>
                <c:pt idx="3">
                  <c:v>43.3</c:v>
                </c:pt>
                <c:pt idx="4">
                  <c:v>60.2</c:v>
                </c:pt>
                <c:pt idx="5">
                  <c:v>77.459999999999994</c:v>
                </c:pt>
                <c:pt idx="6">
                  <c:v>106.17</c:v>
                </c:pt>
                <c:pt idx="7">
                  <c:v>139.11000000000001</c:v>
                </c:pt>
                <c:pt idx="8">
                  <c:v>168.29</c:v>
                </c:pt>
                <c:pt idx="9">
                  <c:v>180.87</c:v>
                </c:pt>
                <c:pt idx="10">
                  <c:v>191.24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07-41CF-B1AE-192353535F72}"/>
            </c:ext>
          </c:extLst>
        </c:ser>
        <c:ser>
          <c:idx val="4"/>
          <c:order val="4"/>
          <c:tx>
            <c:strRef>
              <c:f>EMCDSStats!$A$21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EMCDSStats!$D$21:$N$21</c:f>
              <c:numCache>
                <c:formatCode>#,##0.00</c:formatCode>
                <c:ptCount val="11"/>
                <c:pt idx="0">
                  <c:v>8.41</c:v>
                </c:pt>
                <c:pt idx="1">
                  <c:v>8.92</c:v>
                </c:pt>
                <c:pt idx="2">
                  <c:v>10.220000000000001</c:v>
                </c:pt>
                <c:pt idx="3">
                  <c:v>13.11</c:v>
                </c:pt>
                <c:pt idx="4">
                  <c:v>17.010000000000002</c:v>
                </c:pt>
                <c:pt idx="5">
                  <c:v>21.92</c:v>
                </c:pt>
                <c:pt idx="6">
                  <c:v>30.77</c:v>
                </c:pt>
                <c:pt idx="7">
                  <c:v>42.77</c:v>
                </c:pt>
                <c:pt idx="8">
                  <c:v>53.63</c:v>
                </c:pt>
                <c:pt idx="9">
                  <c:v>59.37</c:v>
                </c:pt>
                <c:pt idx="10">
                  <c:v>65.13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107-41CF-B1AE-192353535F72}"/>
            </c:ext>
          </c:extLst>
        </c:ser>
        <c:ser>
          <c:idx val="5"/>
          <c:order val="5"/>
          <c:tx>
            <c:strRef>
              <c:f>EMCDSStats!$A$22</c:f>
              <c:strCache>
                <c:ptCount val="1"/>
                <c:pt idx="0">
                  <c:v>Malaysia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EMCDSStats!$D$22:$N$22</c:f>
              <c:numCache>
                <c:formatCode>#,##0.00</c:formatCode>
                <c:ptCount val="11"/>
                <c:pt idx="0">
                  <c:v>7.45</c:v>
                </c:pt>
                <c:pt idx="1">
                  <c:v>8.56</c:v>
                </c:pt>
                <c:pt idx="2">
                  <c:v>15.12</c:v>
                </c:pt>
                <c:pt idx="3">
                  <c:v>22.29</c:v>
                </c:pt>
                <c:pt idx="4">
                  <c:v>31.42</c:v>
                </c:pt>
                <c:pt idx="5">
                  <c:v>41.2</c:v>
                </c:pt>
                <c:pt idx="6">
                  <c:v>57.24</c:v>
                </c:pt>
                <c:pt idx="7">
                  <c:v>76.13</c:v>
                </c:pt>
                <c:pt idx="8">
                  <c:v>88.53</c:v>
                </c:pt>
                <c:pt idx="9">
                  <c:v>94.41</c:v>
                </c:pt>
                <c:pt idx="10">
                  <c:v>99.97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107-41CF-B1AE-192353535F72}"/>
            </c:ext>
          </c:extLst>
        </c:ser>
        <c:ser>
          <c:idx val="6"/>
          <c:order val="6"/>
          <c:tx>
            <c:strRef>
              <c:f>EMCDSStats!$A$23</c:f>
              <c:strCache>
                <c:ptCount val="1"/>
                <c:pt idx="0">
                  <c:v>Pakistan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EMCDSStats!$D$23:$N$23</c:f>
              <c:numCache>
                <c:formatCode>#,##0.00</c:formatCode>
                <c:ptCount val="11"/>
                <c:pt idx="0">
                  <c:v>307.3</c:v>
                </c:pt>
                <c:pt idx="1">
                  <c:v>340.39</c:v>
                </c:pt>
                <c:pt idx="2">
                  <c:v>377.64</c:v>
                </c:pt>
                <c:pt idx="3">
                  <c:v>407.01</c:v>
                </c:pt>
                <c:pt idx="4">
                  <c:v>417.97</c:v>
                </c:pt>
                <c:pt idx="5">
                  <c:v>422.2</c:v>
                </c:pt>
                <c:pt idx="6">
                  <c:v>427.63</c:v>
                </c:pt>
                <c:pt idx="7">
                  <c:v>419.5</c:v>
                </c:pt>
                <c:pt idx="8">
                  <c:v>411.52</c:v>
                </c:pt>
                <c:pt idx="9">
                  <c:v>408.1</c:v>
                </c:pt>
                <c:pt idx="10">
                  <c:v>392.37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4107-41CF-B1AE-192353535F72}"/>
            </c:ext>
          </c:extLst>
        </c:ser>
        <c:ser>
          <c:idx val="7"/>
          <c:order val="7"/>
          <c:tx>
            <c:strRef>
              <c:f>EMCDSStats!$A$24</c:f>
              <c:strCache>
                <c:ptCount val="1"/>
                <c:pt idx="0">
                  <c:v>Phillippines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EMCDSStats!$D$24:$N$24</c:f>
              <c:numCache>
                <c:formatCode>#,##0.00</c:formatCode>
                <c:ptCount val="11"/>
                <c:pt idx="0">
                  <c:v>6.93</c:v>
                </c:pt>
                <c:pt idx="1">
                  <c:v>8.16</c:v>
                </c:pt>
                <c:pt idx="2">
                  <c:v>15.37</c:v>
                </c:pt>
                <c:pt idx="3">
                  <c:v>22.26</c:v>
                </c:pt>
                <c:pt idx="4">
                  <c:v>31.27</c:v>
                </c:pt>
                <c:pt idx="5">
                  <c:v>41.41</c:v>
                </c:pt>
                <c:pt idx="6">
                  <c:v>58.21</c:v>
                </c:pt>
                <c:pt idx="7">
                  <c:v>76.319999999999993</c:v>
                </c:pt>
                <c:pt idx="8">
                  <c:v>93.55</c:v>
                </c:pt>
                <c:pt idx="9">
                  <c:v>103.58</c:v>
                </c:pt>
                <c:pt idx="10">
                  <c:v>114.19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107-41CF-B1AE-192353535F72}"/>
            </c:ext>
          </c:extLst>
        </c:ser>
        <c:ser>
          <c:idx val="8"/>
          <c:order val="8"/>
          <c:tx>
            <c:strRef>
              <c:f>EMCDSStats!$A$25</c:f>
              <c:strCache>
                <c:ptCount val="1"/>
                <c:pt idx="0">
                  <c:v>Singapore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EMCDSStats!$D$25:$N$25</c:f>
              <c:numCache>
                <c:formatCode>#,##0.00</c:formatCode>
                <c:ptCount val="11"/>
                <c:pt idx="0">
                  <c:v>5.23</c:v>
                </c:pt>
                <c:pt idx="1">
                  <c:v>7.04</c:v>
                </c:pt>
                <c:pt idx="2">
                  <c:v>10.94</c:v>
                </c:pt>
                <c:pt idx="3">
                  <c:v>14.01</c:v>
                </c:pt>
                <c:pt idx="4">
                  <c:v>17.52</c:v>
                </c:pt>
                <c:pt idx="5">
                  <c:v>21.72</c:v>
                </c:pt>
                <c:pt idx="6">
                  <c:v>31.44</c:v>
                </c:pt>
                <c:pt idx="7">
                  <c:v>35</c:v>
                </c:pt>
                <c:pt idx="8">
                  <c:v>37.72</c:v>
                </c:pt>
                <c:pt idx="9">
                  <c:v>39.42</c:v>
                </c:pt>
                <c:pt idx="10">
                  <c:v>41.4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107-41CF-B1AE-192353535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EMCDSStats!$G$2</c:f>
          <c:strCache>
            <c:ptCount val="1"/>
            <c:pt idx="0">
              <c:v>CIS СDS  as of 11.03.2021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EMCDSStats!$A$27</c:f>
              <c:strCache>
                <c:ptCount val="1"/>
                <c:pt idx="0">
                  <c:v>Belarus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EMCDSStats!$D$27:$N$27</c:f>
              <c:numCache>
                <c:formatCode>#,##0.00</c:formatCode>
                <c:ptCount val="11"/>
                <c:pt idx="0">
                  <c:v>370.89</c:v>
                </c:pt>
                <c:pt idx="1">
                  <c:v>404.35</c:v>
                </c:pt>
                <c:pt idx="2">
                  <c:v>412.27</c:v>
                </c:pt>
                <c:pt idx="3">
                  <c:v>415.63</c:v>
                </c:pt>
                <c:pt idx="4">
                  <c:v>413.29</c:v>
                </c:pt>
                <c:pt idx="5">
                  <c:v>411.72</c:v>
                </c:pt>
                <c:pt idx="6">
                  <c:v>416</c:v>
                </c:pt>
                <c:pt idx="7">
                  <c:v>417.39</c:v>
                </c:pt>
                <c:pt idx="8">
                  <c:v>417.31</c:v>
                </c:pt>
                <c:pt idx="9">
                  <c:v>415.73</c:v>
                </c:pt>
                <c:pt idx="10">
                  <c:v>412.56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EMCDSStats!$A$28</c:f>
              <c:strCache>
                <c:ptCount val="1"/>
                <c:pt idx="0">
                  <c:v>Kazakhstan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EMCDSStats!$D$28:$N$28</c:f>
              <c:numCache>
                <c:formatCode>#,##0.00</c:formatCode>
                <c:ptCount val="11"/>
                <c:pt idx="0">
                  <c:v>16.399999999999999</c:v>
                </c:pt>
                <c:pt idx="1">
                  <c:v>20.04</c:v>
                </c:pt>
                <c:pt idx="2">
                  <c:v>23.58</c:v>
                </c:pt>
                <c:pt idx="3">
                  <c:v>31.44</c:v>
                </c:pt>
                <c:pt idx="4">
                  <c:v>46.4</c:v>
                </c:pt>
                <c:pt idx="5">
                  <c:v>61.33</c:v>
                </c:pt>
                <c:pt idx="6">
                  <c:v>81.150000000000006</c:v>
                </c:pt>
                <c:pt idx="7">
                  <c:v>97.51</c:v>
                </c:pt>
                <c:pt idx="8">
                  <c:v>112.95</c:v>
                </c:pt>
                <c:pt idx="9">
                  <c:v>121.32</c:v>
                </c:pt>
                <c:pt idx="10">
                  <c:v>129.36000000000001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DCD-4A1F-B6ED-012D7C4DA5EC}"/>
            </c:ext>
          </c:extLst>
        </c:ser>
        <c:ser>
          <c:idx val="2"/>
          <c:order val="2"/>
          <c:tx>
            <c:strRef>
              <c:f>EMCDSStats!$A$29</c:f>
              <c:strCache>
                <c:ptCount val="1"/>
                <c:pt idx="0">
                  <c:v>Russia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EMCDSStats!$D$29:$N$29</c:f>
              <c:numCache>
                <c:formatCode>#,##0.00</c:formatCode>
                <c:ptCount val="11"/>
                <c:pt idx="0">
                  <c:v>27.12</c:v>
                </c:pt>
                <c:pt idx="1">
                  <c:v>31.05</c:v>
                </c:pt>
                <c:pt idx="2">
                  <c:v>41.21</c:v>
                </c:pt>
                <c:pt idx="3">
                  <c:v>53.98</c:v>
                </c:pt>
                <c:pt idx="4">
                  <c:v>69.349999999999994</c:v>
                </c:pt>
                <c:pt idx="5">
                  <c:v>86.89</c:v>
                </c:pt>
                <c:pt idx="6">
                  <c:v>118.22</c:v>
                </c:pt>
                <c:pt idx="7">
                  <c:v>140.79</c:v>
                </c:pt>
                <c:pt idx="8">
                  <c:v>152.52000000000001</c:v>
                </c:pt>
                <c:pt idx="9">
                  <c:v>157.84</c:v>
                </c:pt>
                <c:pt idx="10">
                  <c:v>162.30000000000001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DCD-4A1F-B6ED-012D7C4DA5EC}"/>
            </c:ext>
          </c:extLst>
        </c:ser>
        <c:ser>
          <c:idx val="3"/>
          <c:order val="3"/>
          <c:tx>
            <c:strRef>
              <c:f>EMCDSStats!$A$30</c:f>
              <c:strCache>
                <c:ptCount val="1"/>
                <c:pt idx="0">
                  <c:v>Ukraine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EMCDSStats!$D$30:$N$30</c:f>
              <c:numCache>
                <c:formatCode>#,##0.00</c:formatCode>
                <c:ptCount val="11"/>
                <c:pt idx="0">
                  <c:v>248.17</c:v>
                </c:pt>
                <c:pt idx="1">
                  <c:v>290.23</c:v>
                </c:pt>
                <c:pt idx="2">
                  <c:v>348.41</c:v>
                </c:pt>
                <c:pt idx="3">
                  <c:v>375.85</c:v>
                </c:pt>
                <c:pt idx="4">
                  <c:v>395.42</c:v>
                </c:pt>
                <c:pt idx="5">
                  <c:v>410.86</c:v>
                </c:pt>
                <c:pt idx="6">
                  <c:v>433.05</c:v>
                </c:pt>
                <c:pt idx="7">
                  <c:v>451.69</c:v>
                </c:pt>
                <c:pt idx="8">
                  <c:v>465.95</c:v>
                </c:pt>
                <c:pt idx="9">
                  <c:v>471.79</c:v>
                </c:pt>
                <c:pt idx="10">
                  <c:v>476.81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DCD-4A1F-B6ED-012D7C4DA5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EMCDSStats!$H$3</c:f>
          <c:strCache>
            <c:ptCount val="1"/>
            <c:pt idx="0">
              <c:v>CEE СDS as of 11.03.2021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EMCDSStats!$A$32</c:f>
              <c:strCache>
                <c:ptCount val="1"/>
                <c:pt idx="0">
                  <c:v>Croatia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EMCDSStats!$D$32:$N$32</c:f>
              <c:numCache>
                <c:formatCode>#,##0.00</c:formatCode>
                <c:ptCount val="11"/>
                <c:pt idx="0">
                  <c:v>21.66</c:v>
                </c:pt>
                <c:pt idx="1">
                  <c:v>26.04</c:v>
                </c:pt>
                <c:pt idx="2">
                  <c:v>36.42</c:v>
                </c:pt>
                <c:pt idx="3">
                  <c:v>49.67</c:v>
                </c:pt>
                <c:pt idx="4">
                  <c:v>62.25</c:v>
                </c:pt>
                <c:pt idx="5">
                  <c:v>74.83</c:v>
                </c:pt>
                <c:pt idx="6">
                  <c:v>109.49</c:v>
                </c:pt>
                <c:pt idx="7">
                  <c:v>130.43</c:v>
                </c:pt>
                <c:pt idx="8">
                  <c:v>141.46</c:v>
                </c:pt>
                <c:pt idx="9">
                  <c:v>144.34</c:v>
                </c:pt>
                <c:pt idx="10">
                  <c:v>144.66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EMCDSStats!$A$33</c:f>
              <c:strCache>
                <c:ptCount val="1"/>
                <c:pt idx="0">
                  <c:v>Turkey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EMCDSStats!$D$33:$N$33</c:f>
              <c:numCache>
                <c:formatCode>#,##0.00</c:formatCode>
                <c:ptCount val="11"/>
                <c:pt idx="0">
                  <c:v>143.07</c:v>
                </c:pt>
                <c:pt idx="1">
                  <c:v>193.27</c:v>
                </c:pt>
                <c:pt idx="2">
                  <c:v>241.61</c:v>
                </c:pt>
                <c:pt idx="3">
                  <c:v>264.14999999999998</c:v>
                </c:pt>
                <c:pt idx="4">
                  <c:v>282.82</c:v>
                </c:pt>
                <c:pt idx="5">
                  <c:v>304.69</c:v>
                </c:pt>
                <c:pt idx="6">
                  <c:v>331.92</c:v>
                </c:pt>
                <c:pt idx="7">
                  <c:v>342.55</c:v>
                </c:pt>
                <c:pt idx="8">
                  <c:v>355.42</c:v>
                </c:pt>
                <c:pt idx="9">
                  <c:v>362.75</c:v>
                </c:pt>
                <c:pt idx="10">
                  <c:v>369.39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E3A-4615-84CA-773E33A7FE5B}"/>
            </c:ext>
          </c:extLst>
        </c:ser>
        <c:ser>
          <c:idx val="2"/>
          <c:order val="2"/>
          <c:tx>
            <c:strRef>
              <c:f>EMCDSStats!$A$34</c:f>
              <c:strCache>
                <c:ptCount val="1"/>
                <c:pt idx="0">
                  <c:v>Poland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EMCDSStats!$D$34:$N$34</c:f>
              <c:numCache>
                <c:formatCode>#,##0.00</c:formatCode>
                <c:ptCount val="11"/>
                <c:pt idx="0">
                  <c:v>8.66</c:v>
                </c:pt>
                <c:pt idx="1">
                  <c:v>10.45</c:v>
                </c:pt>
                <c:pt idx="2">
                  <c:v>17.09</c:v>
                </c:pt>
                <c:pt idx="3">
                  <c:v>26.49</c:v>
                </c:pt>
                <c:pt idx="4">
                  <c:v>37.18</c:v>
                </c:pt>
                <c:pt idx="5">
                  <c:v>47.56</c:v>
                </c:pt>
                <c:pt idx="6">
                  <c:v>63.32</c:v>
                </c:pt>
                <c:pt idx="7">
                  <c:v>77.819999999999993</c:v>
                </c:pt>
                <c:pt idx="8">
                  <c:v>89.43</c:v>
                </c:pt>
                <c:pt idx="9">
                  <c:v>95.35</c:v>
                </c:pt>
                <c:pt idx="10">
                  <c:v>100.8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E3A-4615-84CA-773E33A7FE5B}"/>
            </c:ext>
          </c:extLst>
        </c:ser>
        <c:ser>
          <c:idx val="3"/>
          <c:order val="3"/>
          <c:tx>
            <c:strRef>
              <c:f>EMCDSStats!$A$35</c:f>
              <c:strCache>
                <c:ptCount val="1"/>
                <c:pt idx="0">
                  <c:v>Slovakia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EMCDSStats!$D$35:$N$35</c:f>
              <c:numCache>
                <c:formatCode>#,##0.00</c:formatCode>
                <c:ptCount val="11"/>
                <c:pt idx="0">
                  <c:v>8.32</c:v>
                </c:pt>
                <c:pt idx="1">
                  <c:v>10.69</c:v>
                </c:pt>
                <c:pt idx="2">
                  <c:v>16.02</c:v>
                </c:pt>
                <c:pt idx="3">
                  <c:v>24.04</c:v>
                </c:pt>
                <c:pt idx="4">
                  <c:v>35.71</c:v>
                </c:pt>
                <c:pt idx="5">
                  <c:v>46.06</c:v>
                </c:pt>
                <c:pt idx="6">
                  <c:v>59.74</c:v>
                </c:pt>
                <c:pt idx="7">
                  <c:v>69.56</c:v>
                </c:pt>
                <c:pt idx="8">
                  <c:v>78.23</c:v>
                </c:pt>
                <c:pt idx="9">
                  <c:v>83.21</c:v>
                </c:pt>
                <c:pt idx="10">
                  <c:v>88.01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E3A-4615-84CA-773E33A7F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EMCDSStats!$H$2</c:f>
          <c:strCache>
            <c:ptCount val="1"/>
            <c:pt idx="0">
              <c:v>Middle East &amp; Africa СDS as of 11.03.2021</c:v>
            </c:pt>
          </c:strCache>
        </c:strRef>
      </c:tx>
      <c:layout>
        <c:manualLayout>
          <c:xMode val="edge"/>
          <c:yMode val="edge"/>
          <c:x val="0.21260948540265531"/>
          <c:y val="1.63934426229508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9.4003241491085895E-2"/>
          <c:y val="9.9029947076287594E-2"/>
          <c:w val="0.88222582387898429"/>
          <c:h val="0.7482436211866960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EMCDSStats!$A$37</c:f>
              <c:strCache>
                <c:ptCount val="1"/>
                <c:pt idx="0">
                  <c:v>Egypt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EMCDSStats!$D$37:$N$37</c:f>
              <c:numCache>
                <c:formatCode>#,##0.00</c:formatCode>
                <c:ptCount val="11"/>
                <c:pt idx="0">
                  <c:v>110.78</c:v>
                </c:pt>
                <c:pt idx="1">
                  <c:v>135.72</c:v>
                </c:pt>
                <c:pt idx="2">
                  <c:v>179.78</c:v>
                </c:pt>
                <c:pt idx="3">
                  <c:v>238.39</c:v>
                </c:pt>
                <c:pt idx="4">
                  <c:v>269.82</c:v>
                </c:pt>
                <c:pt idx="5">
                  <c:v>297.63</c:v>
                </c:pt>
                <c:pt idx="6">
                  <c:v>334.38</c:v>
                </c:pt>
                <c:pt idx="7">
                  <c:v>355.51</c:v>
                </c:pt>
                <c:pt idx="8">
                  <c:v>375.9</c:v>
                </c:pt>
                <c:pt idx="9">
                  <c:v>384.72</c:v>
                </c:pt>
                <c:pt idx="10">
                  <c:v>390.54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BE-45D8-B7B0-5B97D9061DAF}"/>
            </c:ext>
          </c:extLst>
        </c:ser>
        <c:ser>
          <c:idx val="1"/>
          <c:order val="1"/>
          <c:tx>
            <c:strRef>
              <c:f>EMCDSStats!$A$38</c:f>
              <c:strCache>
                <c:ptCount val="1"/>
                <c:pt idx="0">
                  <c:v>Israel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EMCDSStats!$D$38:$N$38</c:f>
              <c:numCache>
                <c:formatCode>#,##0.00</c:formatCode>
                <c:ptCount val="11"/>
                <c:pt idx="0">
                  <c:v>8.25</c:v>
                </c:pt>
                <c:pt idx="1">
                  <c:v>11.4</c:v>
                </c:pt>
                <c:pt idx="2">
                  <c:v>17.21</c:v>
                </c:pt>
                <c:pt idx="3">
                  <c:v>25.15</c:v>
                </c:pt>
                <c:pt idx="4">
                  <c:v>33.07</c:v>
                </c:pt>
                <c:pt idx="5">
                  <c:v>41.24</c:v>
                </c:pt>
                <c:pt idx="6">
                  <c:v>58.33</c:v>
                </c:pt>
                <c:pt idx="7">
                  <c:v>74.19</c:v>
                </c:pt>
                <c:pt idx="8">
                  <c:v>87.6</c:v>
                </c:pt>
                <c:pt idx="9">
                  <c:v>95.47</c:v>
                </c:pt>
                <c:pt idx="10">
                  <c:v>102.32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CD-46F6-8BCE-3DD6CB6A3E24}"/>
            </c:ext>
          </c:extLst>
        </c:ser>
        <c:ser>
          <c:idx val="2"/>
          <c:order val="2"/>
          <c:tx>
            <c:strRef>
              <c:f>EMCDSStats!$A$39</c:f>
              <c:strCache>
                <c:ptCount val="1"/>
                <c:pt idx="0">
                  <c:v>Kuwait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EMCDSStats!$D$39:$N$39</c:f>
              <c:numCache>
                <c:formatCode>#,##0.00</c:formatCode>
                <c:ptCount val="11"/>
                <c:pt idx="0">
                  <c:v>6.96</c:v>
                </c:pt>
                <c:pt idx="1">
                  <c:v>11.52</c:v>
                </c:pt>
                <c:pt idx="2">
                  <c:v>17.52</c:v>
                </c:pt>
                <c:pt idx="3">
                  <c:v>25.03</c:v>
                </c:pt>
                <c:pt idx="4">
                  <c:v>37</c:v>
                </c:pt>
                <c:pt idx="5">
                  <c:v>49.12</c:v>
                </c:pt>
                <c:pt idx="6">
                  <c:v>68.17</c:v>
                </c:pt>
                <c:pt idx="7">
                  <c:v>85.39</c:v>
                </c:pt>
                <c:pt idx="8">
                  <c:v>100.31</c:v>
                </c:pt>
                <c:pt idx="9">
                  <c:v>108.44</c:v>
                </c:pt>
                <c:pt idx="10">
                  <c:v>116.34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CD-46F6-8BCE-3DD6CB6A3E24}"/>
            </c:ext>
          </c:extLst>
        </c:ser>
        <c:ser>
          <c:idx val="4"/>
          <c:order val="3"/>
          <c:tx>
            <c:strRef>
              <c:f>EMCDSStats!$A$40</c:f>
              <c:strCache>
                <c:ptCount val="1"/>
                <c:pt idx="0">
                  <c:v>Oman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EMCDSStats!$D$40:$N$40</c:f>
              <c:numCache>
                <c:formatCode>#,##0.00</c:formatCode>
                <c:ptCount val="11"/>
                <c:pt idx="0">
                  <c:v>136.31</c:v>
                </c:pt>
                <c:pt idx="1">
                  <c:v>149.91</c:v>
                </c:pt>
                <c:pt idx="2">
                  <c:v>220.8</c:v>
                </c:pt>
                <c:pt idx="3">
                  <c:v>262.83999999999997</c:v>
                </c:pt>
                <c:pt idx="4">
                  <c:v>287.39</c:v>
                </c:pt>
                <c:pt idx="5">
                  <c:v>304.18</c:v>
                </c:pt>
                <c:pt idx="6">
                  <c:v>330.56</c:v>
                </c:pt>
                <c:pt idx="7">
                  <c:v>349.6</c:v>
                </c:pt>
                <c:pt idx="8">
                  <c:v>357.2</c:v>
                </c:pt>
                <c:pt idx="9">
                  <c:v>360.86</c:v>
                </c:pt>
                <c:pt idx="10">
                  <c:v>363.59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0CD-46F6-8BCE-3DD6CB6A3E24}"/>
            </c:ext>
          </c:extLst>
        </c:ser>
        <c:ser>
          <c:idx val="5"/>
          <c:order val="4"/>
          <c:tx>
            <c:strRef>
              <c:f>EMCDSStats!$A$41</c:f>
              <c:strCache>
                <c:ptCount val="1"/>
                <c:pt idx="0">
                  <c:v>Qatar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EMCDSStats!$D$41:$N$41</c:f>
              <c:numCache>
                <c:formatCode>#,##0.00</c:formatCode>
                <c:ptCount val="11"/>
                <c:pt idx="0">
                  <c:v>15.11</c:v>
                </c:pt>
                <c:pt idx="1">
                  <c:v>17.04</c:v>
                </c:pt>
                <c:pt idx="2">
                  <c:v>20.89</c:v>
                </c:pt>
                <c:pt idx="3">
                  <c:v>25.55</c:v>
                </c:pt>
                <c:pt idx="4">
                  <c:v>33.64</c:v>
                </c:pt>
                <c:pt idx="5">
                  <c:v>44.13</c:v>
                </c:pt>
                <c:pt idx="6">
                  <c:v>62.74</c:v>
                </c:pt>
                <c:pt idx="7">
                  <c:v>77.37</c:v>
                </c:pt>
                <c:pt idx="8">
                  <c:v>90.1</c:v>
                </c:pt>
                <c:pt idx="9">
                  <c:v>96.34</c:v>
                </c:pt>
                <c:pt idx="10">
                  <c:v>102.21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0CD-46F6-8BCE-3DD6CB6A3E24}"/>
            </c:ext>
          </c:extLst>
        </c:ser>
        <c:ser>
          <c:idx val="6"/>
          <c:order val="5"/>
          <c:tx>
            <c:strRef>
              <c:f>EMCDSStats!$A$42</c:f>
              <c:strCache>
                <c:ptCount val="1"/>
                <c:pt idx="0">
                  <c:v>Saudi Arabia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EMCDSStats!$D$42:$N$42</c:f>
              <c:numCache>
                <c:formatCode>#,##0.00</c:formatCode>
                <c:ptCount val="11"/>
                <c:pt idx="0">
                  <c:v>15.33</c:v>
                </c:pt>
                <c:pt idx="1">
                  <c:v>18.18</c:v>
                </c:pt>
                <c:pt idx="2">
                  <c:v>23.44</c:v>
                </c:pt>
                <c:pt idx="3">
                  <c:v>31.99</c:v>
                </c:pt>
                <c:pt idx="4">
                  <c:v>46.17</c:v>
                </c:pt>
                <c:pt idx="5">
                  <c:v>61.9</c:v>
                </c:pt>
                <c:pt idx="6">
                  <c:v>87.21</c:v>
                </c:pt>
                <c:pt idx="7">
                  <c:v>106.6</c:v>
                </c:pt>
                <c:pt idx="8">
                  <c:v>124.79</c:v>
                </c:pt>
                <c:pt idx="9">
                  <c:v>133.37</c:v>
                </c:pt>
                <c:pt idx="10">
                  <c:v>141.09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0CD-46F6-8BCE-3DD6CB6A3E24}"/>
            </c:ext>
          </c:extLst>
        </c:ser>
        <c:ser>
          <c:idx val="7"/>
          <c:order val="6"/>
          <c:tx>
            <c:strRef>
              <c:f>EMCDSStats!$A$43</c:f>
              <c:strCache>
                <c:ptCount val="1"/>
                <c:pt idx="0">
                  <c:v>South Africa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EMCDSStats!$D$43:$N$43</c:f>
              <c:numCache>
                <c:formatCode>#,##0.00</c:formatCode>
                <c:ptCount val="11"/>
                <c:pt idx="0">
                  <c:v>47.03</c:v>
                </c:pt>
                <c:pt idx="1">
                  <c:v>69.349999999999994</c:v>
                </c:pt>
                <c:pt idx="2">
                  <c:v>104.88</c:v>
                </c:pt>
                <c:pt idx="3">
                  <c:v>145.82</c:v>
                </c:pt>
                <c:pt idx="4">
                  <c:v>180.81</c:v>
                </c:pt>
                <c:pt idx="5">
                  <c:v>211.03</c:v>
                </c:pt>
                <c:pt idx="6">
                  <c:v>256.04000000000002</c:v>
                </c:pt>
                <c:pt idx="7">
                  <c:v>289.73</c:v>
                </c:pt>
                <c:pt idx="8">
                  <c:v>314.89</c:v>
                </c:pt>
                <c:pt idx="9">
                  <c:v>325.11</c:v>
                </c:pt>
                <c:pt idx="10">
                  <c:v>331.99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0CD-46F6-8BCE-3DD6CB6A3E24}"/>
            </c:ext>
          </c:extLst>
        </c:ser>
        <c:ser>
          <c:idx val="8"/>
          <c:order val="7"/>
          <c:tx>
            <c:strRef>
              <c:f>EMCDSStats!$A$44</c:f>
              <c:strCache>
                <c:ptCount val="1"/>
                <c:pt idx="0">
                  <c:v>United Arab Emirates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EMCDSStats!$D$4:$N$4</c:f>
              <c:numCache>
                <c:formatCode>General</c:formatCode>
                <c:ptCount val="11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7</c:v>
                </c:pt>
                <c:pt idx="7">
                  <c:v>10</c:v>
                </c:pt>
                <c:pt idx="8">
                  <c:v>15</c:v>
                </c:pt>
                <c:pt idx="9">
                  <c:v>20</c:v>
                </c:pt>
                <c:pt idx="10">
                  <c:v>30</c:v>
                </c:pt>
              </c:numCache>
            </c:numRef>
          </c:xVal>
          <c:yVal>
            <c:numRef>
              <c:f>EMCDSStats!$D$44:$N$44</c:f>
              <c:numCache>
                <c:formatCode>#,##0.00</c:formatCode>
                <c:ptCount val="11"/>
                <c:pt idx="0">
                  <c:v>17.489999999999998</c:v>
                </c:pt>
                <c:pt idx="1">
                  <c:v>23.11</c:v>
                </c:pt>
                <c:pt idx="2">
                  <c:v>32.5</c:v>
                </c:pt>
                <c:pt idx="3">
                  <c:v>43.11</c:v>
                </c:pt>
                <c:pt idx="4">
                  <c:v>55.22</c:v>
                </c:pt>
                <c:pt idx="5">
                  <c:v>67.03</c:v>
                </c:pt>
                <c:pt idx="6">
                  <c:v>83.85</c:v>
                </c:pt>
                <c:pt idx="7">
                  <c:v>90.45</c:v>
                </c:pt>
                <c:pt idx="8">
                  <c:v>94.78</c:v>
                </c:pt>
                <c:pt idx="9">
                  <c:v>96.07</c:v>
                </c:pt>
                <c:pt idx="10">
                  <c:v>96.14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0CD-46F6-8BCE-3DD6CB6A3E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35482304"/>
        <c:axId val="865032528"/>
      </c:scatterChart>
      <c:valAx>
        <c:axId val="73548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65032528"/>
        <c:crosses val="autoZero"/>
        <c:crossBetween val="midCat"/>
      </c:valAx>
      <c:valAx>
        <c:axId val="865032528"/>
        <c:scaling>
          <c:orientation val="minMax"/>
          <c:max val="600"/>
          <c:min val="-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73548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1861219940700285E-2"/>
          <c:y val="0.89138548255238581"/>
          <c:w val="0.93158292814694743"/>
          <c:h val="0.108614517447614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45</xdr:row>
      <xdr:rowOff>66675</xdr:rowOff>
    </xdr:from>
    <xdr:to>
      <xdr:col>7</xdr:col>
      <xdr:colOff>28574</xdr:colOff>
      <xdr:row>69</xdr:row>
      <xdr:rowOff>142875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161924</xdr:colOff>
      <xdr:row>45</xdr:row>
      <xdr:rowOff>76200</xdr:rowOff>
    </xdr:from>
    <xdr:to>
      <xdr:col>14</xdr:col>
      <xdr:colOff>19049</xdr:colOff>
      <xdr:row>69</xdr:row>
      <xdr:rowOff>171450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70</xdr:row>
      <xdr:rowOff>19050</xdr:rowOff>
    </xdr:from>
    <xdr:to>
      <xdr:col>7</xdr:col>
      <xdr:colOff>28574</xdr:colOff>
      <xdr:row>94</xdr:row>
      <xdr:rowOff>95250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161925</xdr:colOff>
      <xdr:row>70</xdr:row>
      <xdr:rowOff>9525</xdr:rowOff>
    </xdr:from>
    <xdr:to>
      <xdr:col>14</xdr:col>
      <xdr:colOff>38100</xdr:colOff>
      <xdr:row>94</xdr:row>
      <xdr:rowOff>85725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47625</xdr:colOff>
      <xdr:row>94</xdr:row>
      <xdr:rowOff>142875</xdr:rowOff>
    </xdr:from>
    <xdr:to>
      <xdr:col>7</xdr:col>
      <xdr:colOff>38099</xdr:colOff>
      <xdr:row>119</xdr:row>
      <xdr:rowOff>28575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142875</xdr:colOff>
      <xdr:row>94</xdr:row>
      <xdr:rowOff>152400</xdr:rowOff>
    </xdr:from>
    <xdr:to>
      <xdr:col>14</xdr:col>
      <xdr:colOff>19050</xdr:colOff>
      <xdr:row>119</xdr:row>
      <xdr:rowOff>38100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47625</xdr:colOff>
      <xdr:row>0</xdr:row>
      <xdr:rowOff>66676</xdr:rowOff>
    </xdr:from>
    <xdr:to>
      <xdr:col>3</xdr:col>
      <xdr:colOff>38628</xdr:colOff>
      <xdr:row>1</xdr:row>
      <xdr:rowOff>28576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66676"/>
          <a:ext cx="2334153" cy="495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0" row="0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4537FD74-7AB6-0148-A9C1-100774EFDA1E}">
  <we:reference id="wa200002161" version="1.0.0.4" store="ru-RU" storeType="OMEX"/>
  <we:alternateReferences>
    <we:reference id="WA200002161" version="1.0.0.4" store="" storeType="OMEX"/>
  </we:alternateReferences>
  <we:properties/>
  <we:bindings/>
  <we:snapshot xmlns:r="http://schemas.openxmlformats.org/officeDocument/2006/relationships"/>
  <we:extLst>
    <a:ext xmlns:a="http://schemas.openxmlformats.org/drawingml/2006/main" uri="{7C84B067-C214-45C3-A712-C9D94CD141B2}">
      <we:customFunctionIdList>
        <we:customFunctionIds>_xldudf_CBONDS_CBONDSCLEANPRICECALCYTM</we:customFunctionIds>
        <we:customFunctionIds>_xldudf_CBONDS_CBONDSCLEANPRICECALCYTP</we:customFunctionIds>
        <we:customFunctionIds>_xldudf_CBONDS_CBONDSCALCGSPREAD</we:customFunctionIds>
        <we:customFunctionIds>_xldudf_CBONDS_CBONDSCALCZSPREAD</we:customFunctionIds>
        <we:customFunctionIds>_xldudf_CBONDS_CBONDSCALCMODIFIEDDURATIONTOPUTCALL</we:customFunctionIds>
        <we:customFunctionIds>_xldudf_CBONDS_CBONDSCALCMODIFIEDDURATIONTOMATURITY</we:customFunctionIds>
        <we:customFunctionIds>_xldudf_CBONDS_CBONDSCALCPVBPTOMATURITY</we:customFunctionIds>
        <we:customFunctionIds>_xldudf_CBONDS_CBONDSCALCPVBPTOPUTCALL</we:customFunctionIds>
        <we:customFunctionIds>_xldudf_CBONDS_CBONDSCALCCONV</we:customFunctionIds>
        <we:customFunctionIds>_xldudf_CBONDS_CBONDSCALCCONVTOPUTCALL</we:customFunctionIds>
        <we:customFunctionIds>_xldudf_CBONDS_CBONDSACI</we:customFunctionIds>
        <we:customFunctionIds>_xldudf_CBONDS_CBONDSCALCCY</we:customFunctionIds>
        <we:customFunctionIds>_xldudf_CBONDS_CBONDSCALCYTM</we:customFunctionIds>
        <we:customFunctionIds>_xldudf_CBONDS_CBONDSCALCYTP</we:customFunctionIds>
        <we:customFunctionIds>_xldudf_CBONDS_CBONDSCALCDURATION</we:customFunctionIds>
        <we:customFunctionIds>_xldudf_CBONDS_CBONDSCALCDURATIONTOPUTCALL</we:customFunctionIds>
        <we:customFunctionIds>_xldudf_CBONDS_CBONDSCALCYTMNOM</we:customFunctionIds>
        <we:customFunctionIds>_xldudf_CBONDS_CBONDSCALCYTMSIMPLE</we:customFunctionIds>
        <we:customFunctionIds>_xldudf_CBONDS_CBONDSCALCYTPNOM</we:customFunctionIds>
        <we:customFunctionIds>_xldudf_CBONDS_CBONDSCALCYTPSIMPLE</we:customFunctionIds>
        <we:customFunctionIds>_xldudf_CBONDS_CBONDSPREVIOUSCOUPONDATE</we:customFunctionIds>
        <we:customFunctionIds>_xldudf_CBONDS_CBONDSCOUPONDATE</we:customFunctionIds>
        <we:customFunctionIds>_xldudf_CBONDS_CBONDSPREVIOUSCOUPONSUM</we:customFunctionIds>
        <we:customFunctionIds>_xldudf_CBONDS_CBONDSCOUPONSUM</we:customFunctionIds>
        <we:customFunctionIds>_xldudf_CBONDS_CBONDSPREVIOUSCOUPONRATE</we:customFunctionIds>
        <we:customFunctionIds>_xldudf_CBONDS_CBONDSCOUPONRATE</we:customFunctionIds>
        <we:customFunctionIds>_xldudf_CBONDS_CBONDSAMORTIZATIONSUM</we:customFunctionIds>
        <we:customFunctionIds>_xldudf_CBONDS_CBONDSAMORTIZATIONDATE</we:customFunctionIds>
        <we:customFunctionIds>_xldudf_CBONDS_CBONDSPREVIOUSAMORTIZATIONSUM</we:customFunctionIds>
        <we:customFunctionIds>_xldudf_CBONDS_CBONDSPREVIOUSAMORTIZATIONDATE</we:customFunctionIds>
        <we:customFunctionIds>_xldudf_CBONDS_CBONDSTRADINGFLOORNAME</we:customFunctionIds>
        <we:customFunctionIds>_xldudf_CBONDS_CBONDSADMITTEDPRICE</we:customFunctionIds>
        <we:customFunctionIds>_xldudf_CBONDS_CBONDSAVGPRICE</we:customFunctionIds>
        <we:customFunctionIds>_xldudf_CBONDS_CBONDSMARKETPRICE</we:customFunctionIds>
        <we:customFunctionIds>_xldudf_CBONDS_CBONDSASKPRICE</we:customFunctionIds>
        <we:customFunctionIds>_xldudf_CBONDS_CBONDSASKYTP</we:customFunctionIds>
        <we:customFunctionIds>_xldudf_CBONDS_CBONDSASKYTM</we:customFunctionIds>
        <we:customFunctionIds>_xldudf_CBONDS_CBONDSBIDPRICE</we:customFunctionIds>
        <we:customFunctionIds>_xldudf_CBONDS_CBONDSBIDYTP</we:customFunctionIds>
        <we:customFunctionIds>_xldudf_CBONDS_CBONDSBIDYTM</we:customFunctionIds>
        <we:customFunctionIds>_xldudf_CBONDS_CBONDSINDICATIVEPRICE</we:customFunctionIds>
        <we:customFunctionIds>_xldudf_CBONDS_CBONDSINDICATIVEYTP</we:customFunctionIds>
        <we:customFunctionIds>_xldudf_CBONDS_CBONDSINDICATIVEYTM</we:customFunctionIds>
        <we:customFunctionIds>_xldudf_CBONDS_CBONDSLASTPRICE</we:customFunctionIds>
        <we:customFunctionIds>_xldudf_CBONDS_CBONDSLASTYTP</we:customFunctionIds>
        <we:customFunctionIds>_xldudf_CBONDS_CBONDSLASTYTM</we:customFunctionIds>
        <we:customFunctionIds>_xldudf_CBONDS_CBONDSCLOSEPRICE</we:customFunctionIds>
        <we:customFunctionIds>_xldudf_CBONDS_CBONDSCLOSEYTP</we:customFunctionIds>
        <we:customFunctionIds>_xldudf_CBONDS_CBONDSCLOSEYTM</we:customFunctionIds>
        <we:customFunctionIds>_xldudf_CBONDS_CBONDSINDICATIVECY</we:customFunctionIds>
        <we:customFunctionIds>_xldudf_CBONDS_CBONDSDEALSNUMBER</we:customFunctionIds>
        <we:customFunctionIds>_xldudf_CBONDS_CBONDSTRADINGVOLUME</we:customFunctionIds>
        <we:customFunctionIds>_xldudf_CBONDS_CBONDSDURATIONTOPUTCALL</we:customFunctionIds>
        <we:customFunctionIds>_xldudf_CBONDS_CBONDSDURATION</we:customFunctionIds>
        <we:customFunctionIds>_xldudf_CBONDS_CBONDSSTOCKNAME</we:customFunctionIds>
        <we:customFunctionIds>_xldudf_CBONDS_CBONDSSTOCKCURRENCY</we:customFunctionIds>
        <we:customFunctionIds>_xldudf_CBONDS_CBONDSSTOCKLASTPRICE</we:customFunctionIds>
        <we:customFunctionIds>_xldudf_CBONDS_CBONDSSTOCKBIDPRICE</we:customFunctionIds>
        <we:customFunctionIds>_xldudf_CBONDS_CBONDSSTOCKASKPRICE</we:customFunctionIds>
        <we:customFunctionIds>_xldudf_CBONDS_CBONDSSTOCKAVGPRICE</we:customFunctionIds>
        <we:customFunctionIds>_xldudf_CBONDS_CBONDSSTOCKDEALSNUMBER</we:customFunctionIds>
        <we:customFunctionIds>_xldudf_CBONDS_CBONDSSTOCKTRADINGVOLUME</we:customFunctionIds>
        <we:customFunctionIds>_xldudf_CBONDS_CBONDSBONDNAME</we:customFunctionIds>
        <we:customFunctionIds>_xldudf_CBONDS_CBONDSMATURITYDATE</we:customFunctionIds>
        <we:customFunctionIds>_xldudf_CBONDS_CBONDSCALLDATE</we:customFunctionIds>
        <we:customFunctionIds>_xldudf_CBONDS_CBONDSPUTDATE</we:customFunctionIds>
        <we:customFunctionIds>_xldudf_CBONDS_CBONDSCURRENTCOUPONRATE</we:customFunctionIds>
        <we:customFunctionIds>_xldudf_CBONDS_CBONDSNOMINAL</we:customFunctionIds>
        <we:customFunctionIds>_xldudf_CBONDS_CBONDSOUTSTANDINGPRINCIPALAMOUNT</we:customFunctionIds>
        <we:customFunctionIds>_xldudf_CBONDS_CBONDSAMOUNT</we:customFunctionIds>
        <we:customFunctionIds>_xldudf_CBONDS_CBONDSOUTSTANDINGFACEVALUEAMOUNT</we:customFunctionIds>
        <we:customFunctionIds>_xldudf_CBONDS_CBONDSCURRENCY</we:customFunctionIds>
        <we:customFunctionIds>_xldudf_CBONDS_CBONDSPAYMENTSNUMBER</we:customFunctionIds>
        <we:customFunctionIds>_xldudf_CBONDS_CBONDSINDEXVALUE</we:customFunctionIds>
        <we:customFunctionIds>_xldudf_CBONDS_CBONDSMUTUALFUNDSHARE</we:customFunctionIds>
        <we:customFunctionIds>_xldudf_CBONDS_CBONDSMUTUALFUNDNAV</we:customFunctionIds>
      </we:customFunctionIdList>
    </a:ext>
  </we:extLst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ro@cbonds.inf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1"/>
  <sheetViews>
    <sheetView showGridLines="0" tabSelected="1" zoomScaleNormal="100" workbookViewId="0">
      <selection activeCell="A3" sqref="A3"/>
    </sheetView>
  </sheetViews>
  <sheetFormatPr baseColWidth="10" defaultColWidth="8.83203125" defaultRowHeight="15" x14ac:dyDescent="0.2"/>
  <cols>
    <col min="1" max="1" width="23.1640625" customWidth="1"/>
    <col min="2" max="2" width="3.1640625" customWidth="1"/>
    <col min="3" max="3" width="8.83203125" customWidth="1"/>
    <col min="4" max="4" width="16.33203125" customWidth="1"/>
    <col min="5" max="8" width="12.83203125" customWidth="1"/>
    <col min="9" max="9" width="12.83203125" style="10" customWidth="1"/>
    <col min="10" max="14" width="12.83203125" customWidth="1"/>
    <col min="20" max="20" width="4" customWidth="1"/>
  </cols>
  <sheetData>
    <row r="1" spans="1:14" ht="42" customHeight="1" x14ac:dyDescent="0.2">
      <c r="D1" s="34" t="s">
        <v>1</v>
      </c>
      <c r="E1" s="46" t="s">
        <v>0</v>
      </c>
      <c r="G1" s="45">
        <f ca="1">TODAY()</f>
        <v>44267</v>
      </c>
    </row>
    <row r="2" spans="1:14" x14ac:dyDescent="0.2">
      <c r="F2" s="40" t="str">
        <f ca="1">CONCATENATE("Asia СDS as of ",TEXT(E3,"ДД.ММ.ГГГГ"))</f>
        <v>Asia СDS as of 11.03.2021</v>
      </c>
      <c r="G2" s="40" t="str">
        <f ca="1">CONCATENATE("CIS СDS  as of ",TEXT(E3,"ДД.ММ.ГГГГ"))</f>
        <v>CIS СDS  as of 11.03.2021</v>
      </c>
      <c r="H2" s="40" t="str">
        <f ca="1">CONCATENATE("Middle East &amp; Africa СDS as of ",TEXT(E3,"ДД.ММ.ГГГГ"))</f>
        <v>Middle East &amp; Africa СDS as of 11.03.2021</v>
      </c>
    </row>
    <row r="3" spans="1:14" ht="21" customHeight="1" x14ac:dyDescent="0.2">
      <c r="A3" s="33" t="s">
        <v>36</v>
      </c>
      <c r="E3" s="39">
        <f ca="1">IF(WEEKDAY(G1)=2,G1-3,IF(WEEKDAY(G1)=1,G1-2,G1-1))</f>
        <v>44266</v>
      </c>
      <c r="F3" s="40" t="str">
        <f ca="1">CONCATENATE("LatAm СDS (w/o Argentina) as of ",TEXT(E3,"ДД.ММ.ГГГГ"))</f>
        <v>LatAm СDS (w/o Argentina) as of 11.03.2021</v>
      </c>
      <c r="G3" s="40" t="str">
        <f ca="1">CONCATENATE("Argentina СDS as of ",TEXT(E3,"ДД.ММ.ГГГГ"))</f>
        <v>Argentina СDS as of 11.03.2021</v>
      </c>
      <c r="H3" s="40" t="str">
        <f ca="1">CONCATENATE("CEE СDS as of ",TEXT(E3,"ДД.ММ.ГГГГ"))</f>
        <v>CEE СDS as of 11.03.2021</v>
      </c>
    </row>
    <row r="4" spans="1:14" x14ac:dyDescent="0.2">
      <c r="D4" s="40">
        <v>0.5</v>
      </c>
      <c r="E4" s="40">
        <v>1</v>
      </c>
      <c r="F4" s="40">
        <v>2</v>
      </c>
      <c r="G4" s="40">
        <v>3</v>
      </c>
      <c r="H4" s="40">
        <v>4</v>
      </c>
      <c r="I4" s="40">
        <v>5</v>
      </c>
      <c r="J4" s="40">
        <v>7</v>
      </c>
      <c r="K4" s="40">
        <v>10</v>
      </c>
      <c r="L4" s="40">
        <v>15</v>
      </c>
      <c r="M4" s="40">
        <v>20</v>
      </c>
      <c r="N4" s="40">
        <v>30</v>
      </c>
    </row>
    <row r="5" spans="1:14" ht="33.75" customHeight="1" thickBot="1" x14ac:dyDescent="0.25">
      <c r="A5" s="1" t="s">
        <v>3</v>
      </c>
      <c r="B5" s="5"/>
      <c r="C5" s="6"/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11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</row>
    <row r="6" spans="1:14" ht="16" thickBot="1" x14ac:dyDescent="0.25">
      <c r="A6" s="2" t="s">
        <v>26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">
      <c r="A7" s="43" t="s">
        <v>27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x14ac:dyDescent="0.2">
      <c r="A8" s="41" t="s">
        <v>15</v>
      </c>
      <c r="B8" s="3"/>
      <c r="C8" s="8"/>
      <c r="D8" s="21">
        <f ca="1">_xldudf_CBONDS_CBONDSINDEXVALUE(13579,$E$3)</f>
        <v>54.13</v>
      </c>
      <c r="E8" s="21">
        <f ca="1">_xldudf_CBONDS_CBONDSINDEXVALUE(13641,$E$3)</f>
        <v>73.709999999999994</v>
      </c>
      <c r="F8" s="21">
        <f ca="1">_xldudf_CBONDS_CBONDSINDEXVALUE(13703,$E$3)</f>
        <v>100.55</v>
      </c>
      <c r="G8" s="21">
        <f ca="1">_xldudf_CBONDS_CBONDSINDEXVALUE(13765,$E$3)</f>
        <v>131.76</v>
      </c>
      <c r="H8" s="21">
        <f ca="1">_xldudf_CBONDS_CBONDSINDEXVALUE(13827,$E$3)</f>
        <v>162.51</v>
      </c>
      <c r="I8" s="21">
        <f ca="1">_xldudf_CBONDS_CBONDSINDEXVALUE(13889,$E$3)</f>
        <v>187.33</v>
      </c>
      <c r="J8" s="21">
        <f ca="1">_xldudf_CBONDS_CBONDSINDEXVALUE(13951,$E$3)</f>
        <v>230.33</v>
      </c>
      <c r="K8" s="21">
        <f ca="1">_xldudf_CBONDS_CBONDSINDEXVALUE(14013,$E$3)</f>
        <v>267.31</v>
      </c>
      <c r="L8" s="21">
        <f ca="1">_xldudf_CBONDS_CBONDSINDEXVALUE(14075,$E$3)</f>
        <v>292.36</v>
      </c>
      <c r="M8" s="21">
        <f ca="1">_xldudf_CBONDS_CBONDSINDEXVALUE(14137,$E$3)</f>
        <v>304.63</v>
      </c>
      <c r="N8" s="21">
        <f ca="1">_xldudf_CBONDS_CBONDSINDEXVALUE(14199,$E$3)</f>
        <v>314.97000000000003</v>
      </c>
    </row>
    <row r="9" spans="1:14" x14ac:dyDescent="0.2">
      <c r="A9" s="12" t="s">
        <v>28</v>
      </c>
      <c r="B9" s="4"/>
      <c r="C9" s="9"/>
      <c r="D9" s="19">
        <f ca="1">_xldudf_CBONDS_CBONDSINDEXVALUE(13601,$E$3)</f>
        <v>7.77</v>
      </c>
      <c r="E9" s="19">
        <f ca="1">_xldudf_CBONDS_CBONDSINDEXVALUE(13663,$E$3)</f>
        <v>11.25</v>
      </c>
      <c r="F9" s="19">
        <f ca="1">_xldudf_CBONDS_CBONDSINDEXVALUE(13725,$E$3)</f>
        <v>16.47</v>
      </c>
      <c r="G9" s="19">
        <f ca="1">_xldudf_CBONDS_CBONDSINDEXVALUE(13787,$E$3)</f>
        <v>25</v>
      </c>
      <c r="H9" s="19">
        <f ca="1">_xldudf_CBONDS_CBONDSINDEXVALUE(13849,$E$3)</f>
        <v>36.909999999999997</v>
      </c>
      <c r="I9" s="19">
        <f ca="1">_xldudf_CBONDS_CBONDSINDEXVALUE(13911,$E$3)</f>
        <v>48.43</v>
      </c>
      <c r="J9" s="19">
        <f ca="1">_xldudf_CBONDS_CBONDSINDEXVALUE(13973,$E$3)</f>
        <v>67.319999999999993</v>
      </c>
      <c r="K9" s="19">
        <f ca="1">_xldudf_CBONDS_CBONDSINDEXVALUE(14035,$E$3)</f>
        <v>86.41</v>
      </c>
      <c r="L9" s="19">
        <f ca="1">_xldudf_CBONDS_CBONDSINDEXVALUE(14097,$E$3)</f>
        <v>103.82</v>
      </c>
      <c r="M9" s="19">
        <f ca="1">_xldudf_CBONDS_CBONDSINDEXVALUE(14159,$E$3)</f>
        <v>112.35</v>
      </c>
      <c r="N9" s="19">
        <f ca="1">_xldudf_CBONDS_CBONDSINDEXVALUE(14221,$E$3)</f>
        <v>120.08</v>
      </c>
    </row>
    <row r="10" spans="1:14" x14ac:dyDescent="0.2">
      <c r="A10" s="41" t="s">
        <v>29</v>
      </c>
      <c r="B10" s="3"/>
      <c r="C10" s="8"/>
      <c r="D10" s="21">
        <f ca="1">_xldudf_CBONDS_CBONDSINDEXVALUE(13599,$E$3)</f>
        <v>23.81</v>
      </c>
      <c r="E10" s="21">
        <f ca="1">_xldudf_CBONDS_CBONDSINDEXVALUE(13661,$E$3)</f>
        <v>34.83</v>
      </c>
      <c r="F10" s="21">
        <f ca="1">_xldudf_CBONDS_CBONDSINDEXVALUE(13723,$E$3)</f>
        <v>48.05</v>
      </c>
      <c r="G10" s="21">
        <f ca="1">_xldudf_CBONDS_CBONDSINDEXVALUE(13785,$E$3)</f>
        <v>65.319999999999993</v>
      </c>
      <c r="H10" s="21">
        <f ca="1">_xldudf_CBONDS_CBONDSINDEXVALUE(13847,$E$3)</f>
        <v>85.97</v>
      </c>
      <c r="I10" s="21">
        <f ca="1">_xldudf_CBONDS_CBONDSINDEXVALUE(13909,$E$3)</f>
        <v>104.93</v>
      </c>
      <c r="J10" s="21">
        <f ca="1">_xldudf_CBONDS_CBONDSINDEXVALUE(13971,$E$3)</f>
        <v>139.66</v>
      </c>
      <c r="K10" s="21">
        <f ca="1">_xldudf_CBONDS_CBONDSINDEXVALUE(14033,$E$3)</f>
        <v>170.75</v>
      </c>
      <c r="L10" s="21">
        <f ca="1">_xldudf_CBONDS_CBONDSINDEXVALUE(14095,$E$3)</f>
        <v>197.63</v>
      </c>
      <c r="M10" s="21">
        <f ca="1">_xldudf_CBONDS_CBONDSINDEXVALUE(14157,$E$3)</f>
        <v>209.16</v>
      </c>
      <c r="N10" s="21">
        <f ca="1">_xldudf_CBONDS_CBONDSINDEXVALUE(14219,$E$3)</f>
        <v>218.34</v>
      </c>
    </row>
    <row r="11" spans="1:14" x14ac:dyDescent="0.2">
      <c r="A11" s="12" t="s">
        <v>53</v>
      </c>
      <c r="B11" s="4"/>
      <c r="C11" s="9"/>
      <c r="D11" s="19">
        <f ca="1">_xldudf_CBONDS_CBONDSINDEXVALUE(60017,$E$3)</f>
        <v>122.34</v>
      </c>
      <c r="E11" s="19">
        <f ca="1">_xldudf_CBONDS_CBONDSINDEXVALUE(60019,$E$3)</f>
        <v>135.59</v>
      </c>
      <c r="F11" s="19">
        <f ca="1">_xldudf_CBONDS_CBONDSINDEXVALUE(60021,$E$3)</f>
        <v>204.51</v>
      </c>
      <c r="G11" s="19">
        <f ca="1">_xldudf_CBONDS_CBONDSINDEXVALUE(60023,$E$3)</f>
        <v>280.75</v>
      </c>
      <c r="H11" s="19">
        <f ca="1">_xldudf_CBONDS_CBONDSINDEXVALUE(60025,$E$3)</f>
        <v>354.95</v>
      </c>
      <c r="I11" s="19">
        <f ca="1">_xldudf_CBONDS_CBONDSINDEXVALUE(60027,$E$3)</f>
        <v>408.98</v>
      </c>
      <c r="J11" s="19">
        <f ca="1">_xldudf_CBONDS_CBONDSINDEXVALUE(60029,$E$3)</f>
        <v>444.02</v>
      </c>
      <c r="K11" s="19">
        <f ca="1">_xldudf_CBONDS_CBONDSINDEXVALUE(60031,$E$3)</f>
        <v>447.98</v>
      </c>
      <c r="L11" s="19">
        <f ca="1">_xldudf_CBONDS_CBONDSINDEXVALUE(60033,$E$3)</f>
        <v>441.64</v>
      </c>
      <c r="M11" s="19">
        <f ca="1">_xldudf_CBONDS_CBONDSINDEXVALUE(60035,$E$3)</f>
        <v>435.59</v>
      </c>
      <c r="N11" s="19">
        <f ca="1">_xldudf_CBONDS_CBONDSINDEXVALUE(60037,$E$3)</f>
        <v>425.67</v>
      </c>
    </row>
    <row r="12" spans="1:14" x14ac:dyDescent="0.2">
      <c r="A12" s="41" t="s">
        <v>31</v>
      </c>
      <c r="B12" s="3"/>
      <c r="C12" s="8"/>
      <c r="D12" s="21">
        <f ca="1">_xldudf_CBONDS_CBONDSINDEXVALUE(13559,$E$3)</f>
        <v>76.61</v>
      </c>
      <c r="E12" s="21">
        <f ca="1">_xldudf_CBONDS_CBONDSINDEXVALUE(13621,$E$3)</f>
        <v>98.12</v>
      </c>
      <c r="F12" s="21">
        <f ca="1">_xldudf_CBONDS_CBONDSINDEXVALUE(13683,$E$3)</f>
        <v>145.34</v>
      </c>
      <c r="G12" s="21">
        <f ca="1">_xldudf_CBONDS_CBONDSINDEXVALUE(13745,$E$3)</f>
        <v>191.73</v>
      </c>
      <c r="H12" s="21">
        <f ca="1">_xldudf_CBONDS_CBONDSINDEXVALUE(13807,$E$3)</f>
        <v>237.63</v>
      </c>
      <c r="I12" s="21">
        <f ca="1">_xldudf_CBONDS_CBONDSINDEXVALUE(13869,$E$3)</f>
        <v>284.35000000000002</v>
      </c>
      <c r="J12" s="21">
        <f ca="1">_xldudf_CBONDS_CBONDSINDEXVALUE(13931,$E$3)</f>
        <v>355.87</v>
      </c>
      <c r="K12" s="21">
        <f ca="1">_xldudf_CBONDS_CBONDSINDEXVALUE(13993,$E$3)</f>
        <v>414.97</v>
      </c>
      <c r="L12" s="21">
        <f ca="1">_xldudf_CBONDS_CBONDSINDEXVALUE(14055,$E$3)</f>
        <v>449.68</v>
      </c>
      <c r="M12" s="21">
        <f ca="1">_xldudf_CBONDS_CBONDSINDEXVALUE(14117,$E$3)</f>
        <v>457.73</v>
      </c>
      <c r="N12" s="21">
        <f ca="1">_xldudf_CBONDS_CBONDSINDEXVALUE(14179,$E$3)</f>
        <v>458.81</v>
      </c>
    </row>
    <row r="13" spans="1:14" x14ac:dyDescent="0.2">
      <c r="A13" s="12" t="s">
        <v>30</v>
      </c>
      <c r="B13" s="4"/>
      <c r="C13" s="9"/>
      <c r="D13" s="19" t="str">
        <f ca="1">_xldudf_CBONDS_CBONDSINDEXVALUE(13557,$E$3)</f>
        <v>No data</v>
      </c>
      <c r="E13" s="19" t="str">
        <f ca="1">_xldudf_CBONDS_CBONDSINDEXVALUE(13619,$E$3)</f>
        <v>No data</v>
      </c>
      <c r="F13" s="19" t="str">
        <f ca="1">_xldudf_CBONDS_CBONDSINDEXVALUE(13681,$E$3)</f>
        <v>No data</v>
      </c>
      <c r="G13" s="19" t="str">
        <f ca="1">_xldudf_CBONDS_CBONDSINDEXVALUE(13743,$E$3)</f>
        <v>No data</v>
      </c>
      <c r="H13" s="19" t="str">
        <f ca="1">_xldudf_CBONDS_CBONDSINDEXVALUE(13805,$E$3)</f>
        <v>No data</v>
      </c>
      <c r="I13" s="19" t="str">
        <f ca="1">_xldudf_CBONDS_CBONDSINDEXVALUE(13867,$E$3)</f>
        <v>No data</v>
      </c>
      <c r="J13" s="19" t="str">
        <f ca="1">_xldudf_CBONDS_CBONDSINDEXVALUE(13929,$E$3)</f>
        <v>No data</v>
      </c>
      <c r="K13" s="19" t="str">
        <f ca="1">_xldudf_CBONDS_CBONDSINDEXVALUE(13991,$E$3)</f>
        <v>No data</v>
      </c>
      <c r="L13" s="19" t="str">
        <f ca="1">_xldudf_CBONDS_CBONDSINDEXVALUE(14053,$E$3)</f>
        <v>No data</v>
      </c>
      <c r="M13" s="19" t="str">
        <f ca="1">_xldudf_CBONDS_CBONDSINDEXVALUE(14115,$E$3)</f>
        <v>No data</v>
      </c>
      <c r="N13" s="19" t="str">
        <f ca="1">_xldudf_CBONDS_CBONDSINDEXVALUE(14177,$E$3)</f>
        <v>No data</v>
      </c>
    </row>
    <row r="14" spans="1:14" x14ac:dyDescent="0.2">
      <c r="A14" s="41" t="s">
        <v>21</v>
      </c>
      <c r="B14" s="3"/>
      <c r="C14" s="8"/>
      <c r="D14" s="21">
        <f ca="1">_xldudf_CBONDS_CBONDSINDEXVALUE(13561,$E$3)</f>
        <v>19.84</v>
      </c>
      <c r="E14" s="21">
        <f ca="1">_xldudf_CBONDS_CBONDSINDEXVALUE(13623,$E$3)</f>
        <v>28.67</v>
      </c>
      <c r="F14" s="21">
        <f ca="1">_xldudf_CBONDS_CBONDSINDEXVALUE(13685,$E$3)</f>
        <v>39.04</v>
      </c>
      <c r="G14" s="21">
        <f ca="1">_xldudf_CBONDS_CBONDSINDEXVALUE(13747,$E$3)</f>
        <v>52.08</v>
      </c>
      <c r="H14" s="21">
        <f ca="1">_xldudf_CBONDS_CBONDSINDEXVALUE(13809,$E$3)</f>
        <v>71.260000000000005</v>
      </c>
      <c r="I14" s="21">
        <f ca="1">_xldudf_CBONDS_CBONDSINDEXVALUE(13871,$E$3)</f>
        <v>92.3</v>
      </c>
      <c r="J14" s="21">
        <f ca="1">_xldudf_CBONDS_CBONDSINDEXVALUE(13933,$E$3)</f>
        <v>125.17</v>
      </c>
      <c r="K14" s="21">
        <f ca="1">_xldudf_CBONDS_CBONDSINDEXVALUE(13995,$E$3)</f>
        <v>154.13</v>
      </c>
      <c r="L14" s="21">
        <f ca="1">_xldudf_CBONDS_CBONDSINDEXVALUE(14057,$E$3)</f>
        <v>180.64</v>
      </c>
      <c r="M14" s="21">
        <f ca="1">_xldudf_CBONDS_CBONDSINDEXVALUE(14119,$E$3)</f>
        <v>194.96</v>
      </c>
      <c r="N14" s="21">
        <f ca="1">_xldudf_CBONDS_CBONDSINDEXVALUE(14181,$E$3)</f>
        <v>208.01</v>
      </c>
    </row>
    <row r="15" spans="1:14" x14ac:dyDescent="0.2">
      <c r="A15" s="12" t="s">
        <v>32</v>
      </c>
      <c r="B15" s="4"/>
      <c r="C15" s="9"/>
      <c r="D15" s="19">
        <f ca="1">_xldudf_CBONDS_CBONDSINDEXVALUE(13565,$E$3)</f>
        <v>14.64</v>
      </c>
      <c r="E15" s="19">
        <f ca="1">_xldudf_CBONDS_CBONDSINDEXVALUE(13627,$E$3)</f>
        <v>18.309999999999999</v>
      </c>
      <c r="F15" s="19">
        <f ca="1">_xldudf_CBONDS_CBONDSINDEXVALUE(13689,$E$3)</f>
        <v>25.18</v>
      </c>
      <c r="G15" s="19">
        <f ca="1">_xldudf_CBONDS_CBONDSINDEXVALUE(13751,$E$3)</f>
        <v>36.909999999999997</v>
      </c>
      <c r="H15" s="19">
        <f ca="1">_xldudf_CBONDS_CBONDSINDEXVALUE(13813,$E$3)</f>
        <v>52.6</v>
      </c>
      <c r="I15" s="19">
        <f ca="1">_xldudf_CBONDS_CBONDSINDEXVALUE(13875,$E$3)</f>
        <v>67.84</v>
      </c>
      <c r="J15" s="19">
        <f ca="1">_xldudf_CBONDS_CBONDSINDEXVALUE(13937,$E$3)</f>
        <v>92.68</v>
      </c>
      <c r="K15" s="19">
        <f ca="1">_xldudf_CBONDS_CBONDSINDEXVALUE(13999,$E$3)</f>
        <v>114.47</v>
      </c>
      <c r="L15" s="19">
        <f ca="1">_xldudf_CBONDS_CBONDSINDEXVALUE(14061,$E$3)</f>
        <v>128.57</v>
      </c>
      <c r="M15" s="19">
        <f ca="1">_xldudf_CBONDS_CBONDSINDEXVALUE(14123,$E$3)</f>
        <v>133.37</v>
      </c>
      <c r="N15" s="19">
        <f ca="1">_xldudf_CBONDS_CBONDSINDEXVALUE(14185,$E$3)</f>
        <v>136.38999999999999</v>
      </c>
    </row>
    <row r="16" spans="1:14" x14ac:dyDescent="0.2">
      <c r="A16" s="44" t="s">
        <v>52</v>
      </c>
      <c r="B16" s="3"/>
      <c r="C16" s="8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x14ac:dyDescent="0.2">
      <c r="A17" s="12" t="s">
        <v>18</v>
      </c>
      <c r="B17" s="4"/>
      <c r="C17" s="9"/>
      <c r="D17" s="19">
        <f ca="1">_xldudf_CBONDS_CBONDSINDEXVALUE(13583,$E$3)</f>
        <v>5.05</v>
      </c>
      <c r="E17" s="19">
        <f ca="1">_xldudf_CBONDS_CBONDSINDEXVALUE(13645,$E$3)</f>
        <v>6.58</v>
      </c>
      <c r="F17" s="19">
        <f ca="1">_xldudf_CBONDS_CBONDSINDEXVALUE(13707,$E$3)</f>
        <v>9.8699999999999992</v>
      </c>
      <c r="G17" s="19">
        <f ca="1">_xldudf_CBONDS_CBONDSINDEXVALUE(13769,$E$3)</f>
        <v>15.54</v>
      </c>
      <c r="H17" s="19">
        <f ca="1">_xldudf_CBONDS_CBONDSINDEXVALUE(13831,$E$3)</f>
        <v>23.38</v>
      </c>
      <c r="I17" s="19">
        <f ca="1">_xldudf_CBONDS_CBONDSINDEXVALUE(13893,$E$3)</f>
        <v>32.450000000000003</v>
      </c>
      <c r="J17" s="19">
        <f ca="1">_xldudf_CBONDS_CBONDSINDEXVALUE(13955,$E$3)</f>
        <v>47.23</v>
      </c>
      <c r="K17" s="19">
        <f ca="1">_xldudf_CBONDS_CBONDSINDEXVALUE(14017,$E$3)</f>
        <v>63.34</v>
      </c>
      <c r="L17" s="19">
        <f ca="1">_xldudf_CBONDS_CBONDSINDEXVALUE(14079,$E$3)</f>
        <v>79.13</v>
      </c>
      <c r="M17" s="19">
        <f ca="1">_xldudf_CBONDS_CBONDSINDEXVALUE(14141,$E$3)</f>
        <v>88.5</v>
      </c>
      <c r="N17" s="19">
        <f ca="1">_xldudf_CBONDS_CBONDSINDEXVALUE(14203,$E$3)</f>
        <v>98.41</v>
      </c>
    </row>
    <row r="18" spans="1:14" x14ac:dyDescent="0.2">
      <c r="A18" s="41" t="s">
        <v>33</v>
      </c>
      <c r="B18" s="3"/>
      <c r="C18" s="8"/>
      <c r="D18" s="21">
        <f ca="1">_xldudf_CBONDS_CBONDSINDEXVALUE(13569,$E$3)</f>
        <v>3.52</v>
      </c>
      <c r="E18" s="21">
        <f ca="1">_xldudf_CBONDS_CBONDSINDEXVALUE(13631,$E$3)</f>
        <v>4.17</v>
      </c>
      <c r="F18" s="21">
        <f ca="1">_xldudf_CBONDS_CBONDSINDEXVALUE(13693,$E$3)</f>
        <v>9.69</v>
      </c>
      <c r="G18" s="21">
        <f ca="1">_xldudf_CBONDS_CBONDSINDEXVALUE(13755,$E$3)</f>
        <v>14.69</v>
      </c>
      <c r="H18" s="21">
        <f ca="1">_xldudf_CBONDS_CBONDSINDEXVALUE(13817,$E$3)</f>
        <v>22.75</v>
      </c>
      <c r="I18" s="21">
        <f ca="1">_xldudf_CBONDS_CBONDSINDEXVALUE(13879,$E$3)</f>
        <v>30.32</v>
      </c>
      <c r="J18" s="21">
        <f ca="1">_xldudf_CBONDS_CBONDSINDEXVALUE(13941,$E$3)</f>
        <v>41.61</v>
      </c>
      <c r="K18" s="21">
        <f ca="1">_xldudf_CBONDS_CBONDSINDEXVALUE(14003,$E$3)</f>
        <v>53.25</v>
      </c>
      <c r="L18" s="21">
        <f ca="1">_xldudf_CBONDS_CBONDSINDEXVALUE(14065,$E$3)</f>
        <v>63.45</v>
      </c>
      <c r="M18" s="21">
        <f ca="1">_xldudf_CBONDS_CBONDSINDEXVALUE(14127,$E$3)</f>
        <v>68.010000000000005</v>
      </c>
      <c r="N18" s="21">
        <f ca="1">_xldudf_CBONDS_CBONDSINDEXVALUE(14189,$E$3)</f>
        <v>72.28</v>
      </c>
    </row>
    <row r="19" spans="1:14" x14ac:dyDescent="0.2">
      <c r="A19" s="12" t="s">
        <v>16</v>
      </c>
      <c r="B19" s="4"/>
      <c r="C19" s="9"/>
      <c r="D19" s="19">
        <f ca="1">_xldudf_CBONDS_CBONDSINDEXVALUE(13591,$E$3)</f>
        <v>20.100000000000001</v>
      </c>
      <c r="E19" s="19">
        <f ca="1">_xldudf_CBONDS_CBONDSINDEXVALUE(13653,$E$3)</f>
        <v>23.01</v>
      </c>
      <c r="F19" s="19">
        <f ca="1">_xldudf_CBONDS_CBONDSINDEXVALUE(13715,$E$3)</f>
        <v>38.979999999999997</v>
      </c>
      <c r="G19" s="19">
        <f ca="1">_xldudf_CBONDS_CBONDSINDEXVALUE(13777,$E$3)</f>
        <v>53.75</v>
      </c>
      <c r="H19" s="19">
        <f ca="1">_xldudf_CBONDS_CBONDSINDEXVALUE(13839,$E$3)</f>
        <v>70.14</v>
      </c>
      <c r="I19" s="19">
        <f ca="1">_xldudf_CBONDS_CBONDSINDEXVALUE(13901,$E$3)</f>
        <v>87.05</v>
      </c>
      <c r="J19" s="19">
        <f ca="1">_xldudf_CBONDS_CBONDSINDEXVALUE(13963,$E$3)</f>
        <v>121.53</v>
      </c>
      <c r="K19" s="19">
        <f ca="1">_xldudf_CBONDS_CBONDSINDEXVALUE(14025,$E$3)</f>
        <v>160.16</v>
      </c>
      <c r="L19" s="19">
        <f ca="1">_xldudf_CBONDS_CBONDSINDEXVALUE(14087,$E$3)</f>
        <v>196.92</v>
      </c>
      <c r="M19" s="19">
        <f ca="1">_xldudf_CBONDS_CBONDSINDEXVALUE(14149,$E$3)</f>
        <v>216.52</v>
      </c>
      <c r="N19" s="19">
        <f ca="1">_xldudf_CBONDS_CBONDSINDEXVALUE(14211,$E$3)</f>
        <v>235.26</v>
      </c>
    </row>
    <row r="20" spans="1:14" x14ac:dyDescent="0.2">
      <c r="A20" s="41" t="s">
        <v>17</v>
      </c>
      <c r="B20" s="3"/>
      <c r="C20" s="8"/>
      <c r="D20" s="21">
        <f ca="1">_xldudf_CBONDS_CBONDSINDEXVALUE(13589,$E$3)</f>
        <v>16.98</v>
      </c>
      <c r="E20" s="21">
        <f ca="1">_xldudf_CBONDS_CBONDSINDEXVALUE(13651,$E$3)</f>
        <v>18.45</v>
      </c>
      <c r="F20" s="21">
        <f ca="1">_xldudf_CBONDS_CBONDSINDEXVALUE(13713,$E$3)</f>
        <v>29.97</v>
      </c>
      <c r="G20" s="21">
        <f ca="1">_xldudf_CBONDS_CBONDSINDEXVALUE(13775,$E$3)</f>
        <v>43.3</v>
      </c>
      <c r="H20" s="21">
        <f ca="1">_xldudf_CBONDS_CBONDSINDEXVALUE(13837,$E$3)</f>
        <v>60.2</v>
      </c>
      <c r="I20" s="21">
        <f ca="1">_xldudf_CBONDS_CBONDSINDEXVALUE(13899,$E$3)</f>
        <v>77.459999999999994</v>
      </c>
      <c r="J20" s="21">
        <f ca="1">_xldudf_CBONDS_CBONDSINDEXVALUE(13961,$E$3)</f>
        <v>106.17</v>
      </c>
      <c r="K20" s="21">
        <f ca="1">_xldudf_CBONDS_CBONDSINDEXVALUE(14023,$E$3)</f>
        <v>139.11000000000001</v>
      </c>
      <c r="L20" s="21">
        <f ca="1">_xldudf_CBONDS_CBONDSINDEXVALUE(14085,$E$3)</f>
        <v>168.29</v>
      </c>
      <c r="M20" s="21">
        <f ca="1">_xldudf_CBONDS_CBONDSINDEXVALUE(14147,$E$3)</f>
        <v>180.87</v>
      </c>
      <c r="N20" s="21">
        <f ca="1">_xldudf_CBONDS_CBONDSINDEXVALUE(14209,$E$3)</f>
        <v>191.24</v>
      </c>
    </row>
    <row r="21" spans="1:14" x14ac:dyDescent="0.2">
      <c r="A21" s="12" t="s">
        <v>19</v>
      </c>
      <c r="B21" s="4"/>
      <c r="C21" s="9"/>
      <c r="D21" s="19">
        <f ca="1">_xldudf_CBONDS_CBONDSINDEXVALUE(13585,$E$3)</f>
        <v>8.41</v>
      </c>
      <c r="E21" s="19">
        <f ca="1">_xldudf_CBONDS_CBONDSINDEXVALUE(13647,$E$3)</f>
        <v>8.92</v>
      </c>
      <c r="F21" s="19">
        <f ca="1">_xldudf_CBONDS_CBONDSINDEXVALUE(13709,$E$3)</f>
        <v>10.220000000000001</v>
      </c>
      <c r="G21" s="19">
        <f ca="1">_xldudf_CBONDS_CBONDSINDEXVALUE(13771,$E$3)</f>
        <v>13.11</v>
      </c>
      <c r="H21" s="19">
        <f ca="1">_xldudf_CBONDS_CBONDSINDEXVALUE(13833,$E$3)</f>
        <v>17.010000000000002</v>
      </c>
      <c r="I21" s="19">
        <f ca="1">_xldudf_CBONDS_CBONDSINDEXVALUE(13895,$E$3)</f>
        <v>21.92</v>
      </c>
      <c r="J21" s="19">
        <f ca="1">_xldudf_CBONDS_CBONDSINDEXVALUE(13957,$E$3)</f>
        <v>30.77</v>
      </c>
      <c r="K21" s="19">
        <f ca="1">_xldudf_CBONDS_CBONDSINDEXVALUE(14019,$E$3)</f>
        <v>42.77</v>
      </c>
      <c r="L21" s="19">
        <f ca="1">_xldudf_CBONDS_CBONDSINDEXVALUE(14081,$E$3)</f>
        <v>53.63</v>
      </c>
      <c r="M21" s="19">
        <f ca="1">_xldudf_CBONDS_CBONDSINDEXVALUE(14143,$E$3)</f>
        <v>59.37</v>
      </c>
      <c r="N21" s="19">
        <f ca="1">_xldudf_CBONDS_CBONDSINDEXVALUE(14205,$E$3)</f>
        <v>65.13</v>
      </c>
    </row>
    <row r="22" spans="1:14" x14ac:dyDescent="0.2">
      <c r="A22" s="41" t="s">
        <v>20</v>
      </c>
      <c r="B22" s="3"/>
      <c r="C22" s="8"/>
      <c r="D22" s="21">
        <f ca="1">_xldudf_CBONDS_CBONDSINDEXVALUE(13595,$E$3)</f>
        <v>7.45</v>
      </c>
      <c r="E22" s="21">
        <f ca="1">_xldudf_CBONDS_CBONDSINDEXVALUE(13657,$E$3)</f>
        <v>8.56</v>
      </c>
      <c r="F22" s="21">
        <f ca="1">_xldudf_CBONDS_CBONDSINDEXVALUE(13719,$E$3)</f>
        <v>15.12</v>
      </c>
      <c r="G22" s="21">
        <f ca="1">_xldudf_CBONDS_CBONDSINDEXVALUE(13781,$E$3)</f>
        <v>22.29</v>
      </c>
      <c r="H22" s="21">
        <f ca="1">_xldudf_CBONDS_CBONDSINDEXVALUE(13843,$E$3)</f>
        <v>31.42</v>
      </c>
      <c r="I22" s="21">
        <f ca="1">_xldudf_CBONDS_CBONDSINDEXVALUE(13905,$E$3)</f>
        <v>41.2</v>
      </c>
      <c r="J22" s="21">
        <f ca="1">_xldudf_CBONDS_CBONDSINDEXVALUE(13967,$E$3)</f>
        <v>57.24</v>
      </c>
      <c r="K22" s="21">
        <f ca="1">_xldudf_CBONDS_CBONDSINDEXVALUE(14029,$E$3)</f>
        <v>76.13</v>
      </c>
      <c r="L22" s="21">
        <f ca="1">_xldudf_CBONDS_CBONDSINDEXVALUE(14091,$E$3)</f>
        <v>88.53</v>
      </c>
      <c r="M22" s="21">
        <f ca="1">_xldudf_CBONDS_CBONDSINDEXVALUE(14153,$E$3)</f>
        <v>94.41</v>
      </c>
      <c r="N22" s="21">
        <f ca="1">_xldudf_CBONDS_CBONDSINDEXVALUE(14215,$E$3)</f>
        <v>99.97</v>
      </c>
    </row>
    <row r="23" spans="1:14" x14ac:dyDescent="0.2">
      <c r="A23" s="12" t="s">
        <v>40</v>
      </c>
      <c r="B23" s="4"/>
      <c r="C23" s="9"/>
      <c r="D23" s="19">
        <f ca="1">_xldudf_CBONDS_CBONDSINDEXVALUE(23813,$E$3)</f>
        <v>307.3</v>
      </c>
      <c r="E23" s="19">
        <f ca="1">_xldudf_CBONDS_CBONDSINDEXVALUE(23815,$E$3)</f>
        <v>340.39</v>
      </c>
      <c r="F23" s="19">
        <f ca="1">_xldudf_CBONDS_CBONDSINDEXVALUE(23817,$E$3)</f>
        <v>377.64</v>
      </c>
      <c r="G23" s="19">
        <f ca="1">_xldudf_CBONDS_CBONDSINDEXVALUE(23819,$E$3)</f>
        <v>407.01</v>
      </c>
      <c r="H23" s="19">
        <f ca="1">_xldudf_CBONDS_CBONDSINDEXVALUE(23821,$E$3)</f>
        <v>417.97</v>
      </c>
      <c r="I23" s="19">
        <f ca="1">_xldudf_CBONDS_CBONDSINDEXVALUE(23823,$E$3)</f>
        <v>422.2</v>
      </c>
      <c r="J23" s="19">
        <f ca="1">_xldudf_CBONDS_CBONDSINDEXVALUE(23825,$E$3)</f>
        <v>427.63</v>
      </c>
      <c r="K23" s="19">
        <f ca="1">_xldudf_CBONDS_CBONDSINDEXVALUE(23827,$E$3)</f>
        <v>419.5</v>
      </c>
      <c r="L23" s="19">
        <f ca="1">_xldudf_CBONDS_CBONDSINDEXVALUE(23829,$E$3)</f>
        <v>411.52</v>
      </c>
      <c r="M23" s="19">
        <f ca="1">_xldudf_CBONDS_CBONDSINDEXVALUE(23831,$E$3)</f>
        <v>408.1</v>
      </c>
      <c r="N23" s="19">
        <f ca="1">_xldudf_CBONDS_CBONDSINDEXVALUE(23833,$E$3)</f>
        <v>392.37</v>
      </c>
    </row>
    <row r="24" spans="1:14" x14ac:dyDescent="0.2">
      <c r="A24" s="41" t="s">
        <v>34</v>
      </c>
      <c r="B24" s="3"/>
      <c r="C24" s="8"/>
      <c r="D24" s="21">
        <f ca="1">_xldudf_CBONDS_CBONDSINDEXVALUE(13567,$E$3)</f>
        <v>6.93</v>
      </c>
      <c r="E24" s="21">
        <f ca="1">_xldudf_CBONDS_CBONDSINDEXVALUE(13629,$E$3)</f>
        <v>8.16</v>
      </c>
      <c r="F24" s="21">
        <f ca="1">_xldudf_CBONDS_CBONDSINDEXVALUE(13691,$E$3)</f>
        <v>15.37</v>
      </c>
      <c r="G24" s="21">
        <f ca="1">_xldudf_CBONDS_CBONDSINDEXVALUE(13753,$E$3)</f>
        <v>22.26</v>
      </c>
      <c r="H24" s="21">
        <f ca="1">_xldudf_CBONDS_CBONDSINDEXVALUE(13815,$E$3)</f>
        <v>31.27</v>
      </c>
      <c r="I24" s="21">
        <f ca="1">_xldudf_CBONDS_CBONDSINDEXVALUE(13877,$E$3)</f>
        <v>41.41</v>
      </c>
      <c r="J24" s="21">
        <f ca="1">_xldudf_CBONDS_CBONDSINDEXVALUE(13939,$E$3)</f>
        <v>58.21</v>
      </c>
      <c r="K24" s="21">
        <f ca="1">_xldudf_CBONDS_CBONDSINDEXVALUE(14001,$E$3)</f>
        <v>76.319999999999993</v>
      </c>
      <c r="L24" s="21">
        <f ca="1">_xldudf_CBONDS_CBONDSINDEXVALUE(14063,$E$3)</f>
        <v>93.55</v>
      </c>
      <c r="M24" s="21">
        <f ca="1">_xldudf_CBONDS_CBONDSINDEXVALUE(14125,$E$3)</f>
        <v>103.58</v>
      </c>
      <c r="N24" s="21">
        <f ca="1">_xldudf_CBONDS_CBONDSINDEXVALUE(14187,$E$3)</f>
        <v>114.19</v>
      </c>
    </row>
    <row r="25" spans="1:14" x14ac:dyDescent="0.2">
      <c r="A25" s="12" t="s">
        <v>35</v>
      </c>
      <c r="B25" s="4"/>
      <c r="C25" s="9"/>
      <c r="D25" s="19">
        <f ca="1">_xldudf_CBONDS_CBONDSINDEXVALUE(13575,$E$3)</f>
        <v>5.23</v>
      </c>
      <c r="E25" s="19">
        <f ca="1">_xldudf_CBONDS_CBONDSINDEXVALUE(13637,$E$3)</f>
        <v>7.04</v>
      </c>
      <c r="F25" s="19">
        <f ca="1">_xldudf_CBONDS_CBONDSINDEXVALUE(13699,$E$3)</f>
        <v>10.94</v>
      </c>
      <c r="G25" s="19">
        <f ca="1">_xldudf_CBONDS_CBONDSINDEXVALUE(13761,$E$3)</f>
        <v>14.01</v>
      </c>
      <c r="H25" s="19">
        <f ca="1">_xldudf_CBONDS_CBONDSINDEXVALUE(13823,$E$3)</f>
        <v>17.52</v>
      </c>
      <c r="I25" s="19">
        <f ca="1">_xldudf_CBONDS_CBONDSINDEXVALUE(13885,$E$3)</f>
        <v>21.72</v>
      </c>
      <c r="J25" s="19">
        <f ca="1">_xldudf_CBONDS_CBONDSINDEXVALUE(13947,$E$3)</f>
        <v>31.44</v>
      </c>
      <c r="K25" s="19">
        <f ca="1">_xldudf_CBONDS_CBONDSINDEXVALUE(14009,$E$3)</f>
        <v>35</v>
      </c>
      <c r="L25" s="19">
        <f ca="1">_xldudf_CBONDS_CBONDSINDEXVALUE(14071,$E$3)</f>
        <v>37.72</v>
      </c>
      <c r="M25" s="19">
        <f ca="1">_xldudf_CBONDS_CBONDSINDEXVALUE(14133,$E$3)</f>
        <v>39.42</v>
      </c>
      <c r="N25" s="19">
        <f ca="1">_xldudf_CBONDS_CBONDSINDEXVALUE(14195,$E$3)</f>
        <v>41.4</v>
      </c>
    </row>
    <row r="26" spans="1:14" x14ac:dyDescent="0.2">
      <c r="A26" s="44" t="s">
        <v>2</v>
      </c>
      <c r="B26" s="3"/>
      <c r="C26" s="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</row>
    <row r="27" spans="1:14" x14ac:dyDescent="0.2">
      <c r="A27" s="12" t="s">
        <v>37</v>
      </c>
      <c r="B27" s="4"/>
      <c r="C27" s="9"/>
      <c r="D27" s="19">
        <f ca="1">_xldudf_CBONDS_CBONDSINDEXVALUE(13597,$E$3)</f>
        <v>370.89</v>
      </c>
      <c r="E27" s="19">
        <f ca="1">_xldudf_CBONDS_CBONDSINDEXVALUE(13659,$E$3)</f>
        <v>404.35</v>
      </c>
      <c r="F27" s="19">
        <f ca="1">_xldudf_CBONDS_CBONDSINDEXVALUE(13721,$E$3)</f>
        <v>412.27</v>
      </c>
      <c r="G27" s="19">
        <f ca="1">_xldudf_CBONDS_CBONDSINDEXVALUE(13783,$E$3)</f>
        <v>415.63</v>
      </c>
      <c r="H27" s="19">
        <f ca="1">_xldudf_CBONDS_CBONDSINDEXVALUE(13845,$E$3)</f>
        <v>413.29</v>
      </c>
      <c r="I27" s="19">
        <f ca="1">_xldudf_CBONDS_CBONDSINDEXVALUE(13907,$E$3)</f>
        <v>411.72</v>
      </c>
      <c r="J27" s="19">
        <f ca="1">_xldudf_CBONDS_CBONDSINDEXVALUE(13969,$E$3)</f>
        <v>416</v>
      </c>
      <c r="K27" s="19">
        <f ca="1">_xldudf_CBONDS_CBONDSINDEXVALUE(14031,$E$3)</f>
        <v>417.39</v>
      </c>
      <c r="L27" s="19">
        <f ca="1">_xldudf_CBONDS_CBONDSINDEXVALUE(14093,$E$3)</f>
        <v>417.31</v>
      </c>
      <c r="M27" s="19">
        <f ca="1">_xldudf_CBONDS_CBONDSINDEXVALUE(14155,$E$3)</f>
        <v>415.73</v>
      </c>
      <c r="N27" s="19">
        <f ca="1">_xldudf_CBONDS_CBONDSINDEXVALUE(14217,$E$3)</f>
        <v>412.56</v>
      </c>
    </row>
    <row r="28" spans="1:14" x14ac:dyDescent="0.2">
      <c r="A28" s="41" t="s">
        <v>38</v>
      </c>
      <c r="B28" s="3"/>
      <c r="C28" s="8"/>
      <c r="D28" s="21">
        <f ca="1">_xldudf_CBONDS_CBONDSINDEXVALUE(13577,$E$3)</f>
        <v>16.399999999999999</v>
      </c>
      <c r="E28" s="21">
        <f ca="1">_xldudf_CBONDS_CBONDSINDEXVALUE(13639,$E$3)</f>
        <v>20.04</v>
      </c>
      <c r="F28" s="21">
        <f ca="1">_xldudf_CBONDS_CBONDSINDEXVALUE(13701,$E$3)</f>
        <v>23.58</v>
      </c>
      <c r="G28" s="21">
        <f ca="1">_xldudf_CBONDS_CBONDSINDEXVALUE(13763,$E$3)</f>
        <v>31.44</v>
      </c>
      <c r="H28" s="21">
        <f ca="1">_xldudf_CBONDS_CBONDSINDEXVALUE(13825,$E$3)</f>
        <v>46.4</v>
      </c>
      <c r="I28" s="21">
        <f ca="1">_xldudf_CBONDS_CBONDSINDEXVALUE(13887,$E$3)</f>
        <v>61.33</v>
      </c>
      <c r="J28" s="21">
        <f ca="1">_xldudf_CBONDS_CBONDSINDEXVALUE(13949,$E$3)</f>
        <v>81.150000000000006</v>
      </c>
      <c r="K28" s="21">
        <f ca="1">_xldudf_CBONDS_CBONDSINDEXVALUE(14011,$E$3)</f>
        <v>97.51</v>
      </c>
      <c r="L28" s="21">
        <f ca="1">_xldudf_CBONDS_CBONDSINDEXVALUE(14073,$E$3)</f>
        <v>112.95</v>
      </c>
      <c r="M28" s="21">
        <f ca="1">_xldudf_CBONDS_CBONDSINDEXVALUE(14135,$E$3)</f>
        <v>121.32</v>
      </c>
      <c r="N28" s="21">
        <f ca="1">_xldudf_CBONDS_CBONDSINDEXVALUE(14197,$E$3)</f>
        <v>129.36000000000001</v>
      </c>
    </row>
    <row r="29" spans="1:14" x14ac:dyDescent="0.2">
      <c r="A29" s="12" t="s">
        <v>22</v>
      </c>
      <c r="B29" s="4"/>
      <c r="C29" s="9"/>
      <c r="D29" s="19">
        <f ca="1">_xldudf_CBONDS_CBONDSINDEXVALUE(13549,$E$3)</f>
        <v>27.12</v>
      </c>
      <c r="E29" s="19">
        <f ca="1">_xldudf_CBONDS_CBONDSINDEXVALUE(13611,$E$3)</f>
        <v>31.05</v>
      </c>
      <c r="F29" s="19">
        <f ca="1">_xldudf_CBONDS_CBONDSINDEXVALUE(13673,$E$3)</f>
        <v>41.21</v>
      </c>
      <c r="G29" s="19">
        <f ca="1">_xldudf_CBONDS_CBONDSINDEXVALUE(13735,$E$3)</f>
        <v>53.98</v>
      </c>
      <c r="H29" s="19">
        <f ca="1">_xldudf_CBONDS_CBONDSINDEXVALUE(13797,$E$3)</f>
        <v>69.349999999999994</v>
      </c>
      <c r="I29" s="19">
        <f ca="1">_xldudf_CBONDS_CBONDSINDEXVALUE(13859,$E$3)</f>
        <v>86.89</v>
      </c>
      <c r="J29" s="19">
        <f ca="1">_xldudf_CBONDS_CBONDSINDEXVALUE(13921,$E$3)</f>
        <v>118.22</v>
      </c>
      <c r="K29" s="19">
        <f ca="1">_xldudf_CBONDS_CBONDSINDEXVALUE(13983,$E$3)</f>
        <v>140.79</v>
      </c>
      <c r="L29" s="19">
        <f ca="1">_xldudf_CBONDS_CBONDSINDEXVALUE(14045,$E$3)</f>
        <v>152.52000000000001</v>
      </c>
      <c r="M29" s="19">
        <f ca="1">_xldudf_CBONDS_CBONDSINDEXVALUE(14107,$E$3)</f>
        <v>157.84</v>
      </c>
      <c r="N29" s="19">
        <f ca="1">_xldudf_CBONDS_CBONDSINDEXVALUE(14169,$E$3)</f>
        <v>162.30000000000001</v>
      </c>
    </row>
    <row r="30" spans="1:14" x14ac:dyDescent="0.2">
      <c r="A30" s="41" t="s">
        <v>39</v>
      </c>
      <c r="B30" s="3"/>
      <c r="C30" s="8"/>
      <c r="D30" s="21">
        <f ca="1">_xldudf_CBONDS_CBONDSINDEXVALUE(13581,$E$3)</f>
        <v>248.17</v>
      </c>
      <c r="E30" s="21">
        <f ca="1">_xldudf_CBONDS_CBONDSINDEXVALUE(13643,$E$3)</f>
        <v>290.23</v>
      </c>
      <c r="F30" s="21">
        <f ca="1">_xldudf_CBONDS_CBONDSINDEXVALUE(13705,$E$3)</f>
        <v>348.41</v>
      </c>
      <c r="G30" s="21">
        <f ca="1">_xldudf_CBONDS_CBONDSINDEXVALUE(13767,$E$3)</f>
        <v>375.85</v>
      </c>
      <c r="H30" s="21">
        <f ca="1">_xldudf_CBONDS_CBONDSINDEXVALUE(13829,$E$3)</f>
        <v>395.42</v>
      </c>
      <c r="I30" s="21">
        <f ca="1">_xldudf_CBONDS_CBONDSINDEXVALUE(13891,$E$3)</f>
        <v>410.86</v>
      </c>
      <c r="J30" s="21">
        <f ca="1">_xldudf_CBONDS_CBONDSINDEXVALUE(13953,$E$3)</f>
        <v>433.05</v>
      </c>
      <c r="K30" s="21">
        <f ca="1">_xldudf_CBONDS_CBONDSINDEXVALUE(14015,$E$3)</f>
        <v>451.69</v>
      </c>
      <c r="L30" s="21">
        <f ca="1">_xldudf_CBONDS_CBONDSINDEXVALUE(14077,$E$3)</f>
        <v>465.95</v>
      </c>
      <c r="M30" s="21">
        <f ca="1">_xldudf_CBONDS_CBONDSINDEXVALUE(14139,$E$3)</f>
        <v>471.79</v>
      </c>
      <c r="N30" s="21">
        <f ca="1">_xldudf_CBONDS_CBONDSINDEXVALUE(14201,$E$3)</f>
        <v>476.81</v>
      </c>
    </row>
    <row r="31" spans="1:14" x14ac:dyDescent="0.2">
      <c r="A31" s="43" t="s">
        <v>41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x14ac:dyDescent="0.2">
      <c r="A32" s="41" t="s">
        <v>42</v>
      </c>
      <c r="B32" s="3"/>
      <c r="C32" s="8"/>
      <c r="D32" s="21">
        <f ca="1">_xldudf_CBONDS_CBONDSINDEXVALUE(13555,$E$3)</f>
        <v>21.66</v>
      </c>
      <c r="E32" s="21">
        <f ca="1">_xldudf_CBONDS_CBONDSINDEXVALUE(13617,$E$3)</f>
        <v>26.04</v>
      </c>
      <c r="F32" s="21">
        <f ca="1">_xldudf_CBONDS_CBONDSINDEXVALUE(13679,$E$3)</f>
        <v>36.42</v>
      </c>
      <c r="G32" s="21">
        <f ca="1">_xldudf_CBONDS_CBONDSINDEXVALUE(13741,$E$3)</f>
        <v>49.67</v>
      </c>
      <c r="H32" s="21">
        <f ca="1">_xldudf_CBONDS_CBONDSINDEXVALUE(13803,$E$3)</f>
        <v>62.25</v>
      </c>
      <c r="I32" s="21">
        <f ca="1">_xldudf_CBONDS_CBONDSINDEXVALUE(13865,$E$3)</f>
        <v>74.83</v>
      </c>
      <c r="J32" s="21">
        <f ca="1">_xldudf_CBONDS_CBONDSINDEXVALUE(13927,$E$3)</f>
        <v>109.49</v>
      </c>
      <c r="K32" s="21">
        <f ca="1">_xldudf_CBONDS_CBONDSINDEXVALUE(13989,$E$3)</f>
        <v>130.43</v>
      </c>
      <c r="L32" s="21">
        <f ca="1">_xldudf_CBONDS_CBONDSINDEXVALUE(14051,$E$3)</f>
        <v>141.46</v>
      </c>
      <c r="M32" s="21">
        <f ca="1">_xldudf_CBONDS_CBONDSINDEXVALUE(14113,$E$3)</f>
        <v>144.34</v>
      </c>
      <c r="N32" s="21">
        <f ca="1">_xldudf_CBONDS_CBONDSINDEXVALUE(14175,$E$3)</f>
        <v>144.66</v>
      </c>
    </row>
    <row r="33" spans="1:14" x14ac:dyDescent="0.2">
      <c r="A33" s="12" t="s">
        <v>23</v>
      </c>
      <c r="B33" s="4"/>
      <c r="C33" s="9"/>
      <c r="D33" s="19">
        <f ca="1">_xldudf_CBONDS_CBONDSINDEXVALUE(13563,$E$3)</f>
        <v>143.07</v>
      </c>
      <c r="E33" s="19">
        <f ca="1">_xldudf_CBONDS_CBONDSINDEXVALUE(13625,$E$3)</f>
        <v>193.27</v>
      </c>
      <c r="F33" s="19">
        <f ca="1">_xldudf_CBONDS_CBONDSINDEXVALUE(13687,$E$3)</f>
        <v>241.61</v>
      </c>
      <c r="G33" s="19">
        <f ca="1">_xldudf_CBONDS_CBONDSINDEXVALUE(13749,$E$3)</f>
        <v>264.14999999999998</v>
      </c>
      <c r="H33" s="19">
        <f ca="1">_xldudf_CBONDS_CBONDSINDEXVALUE(13811,$E$3)</f>
        <v>282.82</v>
      </c>
      <c r="I33" s="19">
        <f ca="1">_xldudf_CBONDS_CBONDSINDEXVALUE(13873,$E$3)</f>
        <v>304.69</v>
      </c>
      <c r="J33" s="19">
        <f ca="1">_xldudf_CBONDS_CBONDSINDEXVALUE(13935,$E$3)</f>
        <v>331.92</v>
      </c>
      <c r="K33" s="19">
        <f ca="1">_xldudf_CBONDS_CBONDSINDEXVALUE(13997,$E$3)</f>
        <v>342.55</v>
      </c>
      <c r="L33" s="19">
        <f ca="1">_xldudf_CBONDS_CBONDSINDEXVALUE(14059,$E$3)</f>
        <v>355.42</v>
      </c>
      <c r="M33" s="19">
        <f ca="1">_xldudf_CBONDS_CBONDSINDEXVALUE(14121,$E$3)</f>
        <v>362.75</v>
      </c>
      <c r="N33" s="19">
        <f ca="1">_xldudf_CBONDS_CBONDSINDEXVALUE(14183,$E$3)</f>
        <v>369.39</v>
      </c>
    </row>
    <row r="34" spans="1:14" x14ac:dyDescent="0.2">
      <c r="A34" s="41" t="s">
        <v>43</v>
      </c>
      <c r="B34" s="3"/>
      <c r="C34" s="8"/>
      <c r="D34" s="21">
        <f ca="1">_xldudf_CBONDS_CBONDSINDEXVALUE(13605,$E$3)</f>
        <v>8.66</v>
      </c>
      <c r="E34" s="21">
        <f ca="1">_xldudf_CBONDS_CBONDSINDEXVALUE(13667,$E$3)</f>
        <v>10.45</v>
      </c>
      <c r="F34" s="21">
        <f ca="1">_xldudf_CBONDS_CBONDSINDEXVALUE(13729,$E$3)</f>
        <v>17.09</v>
      </c>
      <c r="G34" s="21">
        <f ca="1">_xldudf_CBONDS_CBONDSINDEXVALUE(13791,$E$3)</f>
        <v>26.49</v>
      </c>
      <c r="H34" s="21">
        <f ca="1">_xldudf_CBONDS_CBONDSINDEXVALUE(13853,$E$3)</f>
        <v>37.18</v>
      </c>
      <c r="I34" s="21">
        <f ca="1">_xldudf_CBONDS_CBONDSINDEXVALUE(13915,$E$3)</f>
        <v>47.56</v>
      </c>
      <c r="J34" s="21">
        <f ca="1">_xldudf_CBONDS_CBONDSINDEXVALUE(13977,$E$3)</f>
        <v>63.32</v>
      </c>
      <c r="K34" s="21">
        <f ca="1">_xldudf_CBONDS_CBONDSINDEXVALUE(14039,$E$3)</f>
        <v>77.819999999999993</v>
      </c>
      <c r="L34" s="21">
        <f ca="1">_xldudf_CBONDS_CBONDSINDEXVALUE(14101,$E$3)</f>
        <v>89.43</v>
      </c>
      <c r="M34" s="21">
        <f ca="1">_xldudf_CBONDS_CBONDSINDEXVALUE(14163,$E$3)</f>
        <v>95.35</v>
      </c>
      <c r="N34" s="21">
        <f ca="1">_xldudf_CBONDS_CBONDSINDEXVALUE(14225,$E$3)</f>
        <v>100.8</v>
      </c>
    </row>
    <row r="35" spans="1:14" x14ac:dyDescent="0.2">
      <c r="A35" s="12" t="s">
        <v>44</v>
      </c>
      <c r="B35" s="4"/>
      <c r="C35" s="9"/>
      <c r="D35" s="19">
        <f ca="1">_xldudf_CBONDS_CBONDSINDEXVALUE(13573,$E$3)</f>
        <v>8.32</v>
      </c>
      <c r="E35" s="19">
        <f ca="1">_xldudf_CBONDS_CBONDSINDEXVALUE(13635,$E$3)</f>
        <v>10.69</v>
      </c>
      <c r="F35" s="19">
        <f ca="1">_xldudf_CBONDS_CBONDSINDEXVALUE(13697,$E$3)</f>
        <v>16.02</v>
      </c>
      <c r="G35" s="19">
        <f ca="1">_xldudf_CBONDS_CBONDSINDEXVALUE(13759,$E$3)</f>
        <v>24.04</v>
      </c>
      <c r="H35" s="19">
        <f ca="1">_xldudf_CBONDS_CBONDSINDEXVALUE(13821,$E$3)</f>
        <v>35.71</v>
      </c>
      <c r="I35" s="19">
        <f ca="1">_xldudf_CBONDS_CBONDSINDEXVALUE(13883,$E$3)</f>
        <v>46.06</v>
      </c>
      <c r="J35" s="19">
        <f ca="1">_xldudf_CBONDS_CBONDSINDEXVALUE(13945,$E$3)</f>
        <v>59.74</v>
      </c>
      <c r="K35" s="19">
        <f ca="1">_xldudf_CBONDS_CBONDSINDEXVALUE(14007,$E$3)</f>
        <v>69.56</v>
      </c>
      <c r="L35" s="19">
        <f ca="1">_xldudf_CBONDS_CBONDSINDEXVALUE(14069,$E$3)</f>
        <v>78.23</v>
      </c>
      <c r="M35" s="19">
        <f ca="1">_xldudf_CBONDS_CBONDSINDEXVALUE(14131,$E$3)</f>
        <v>83.21</v>
      </c>
      <c r="N35" s="19">
        <f ca="1">_xldudf_CBONDS_CBONDSINDEXVALUE(14193,$E$3)</f>
        <v>88.01</v>
      </c>
    </row>
    <row r="36" spans="1:14" x14ac:dyDescent="0.2">
      <c r="A36" s="44" t="s">
        <v>45</v>
      </c>
      <c r="B36" s="3"/>
      <c r="C36" s="8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x14ac:dyDescent="0.2">
      <c r="A37" s="12" t="s">
        <v>47</v>
      </c>
      <c r="B37" s="4"/>
      <c r="C37" s="9"/>
      <c r="D37" s="19">
        <f ca="1">_xldudf_CBONDS_CBONDSINDEXVALUE(13593,$E$3)</f>
        <v>110.78</v>
      </c>
      <c r="E37" s="19">
        <f ca="1">_xldudf_CBONDS_CBONDSINDEXVALUE(13655,$E$3)</f>
        <v>135.72</v>
      </c>
      <c r="F37" s="19">
        <f ca="1">_xldudf_CBONDS_CBONDSINDEXVALUE(13717,$E$3)</f>
        <v>179.78</v>
      </c>
      <c r="G37" s="19">
        <f ca="1">_xldudf_CBONDS_CBONDSINDEXVALUE(13779,$E$3)</f>
        <v>238.39</v>
      </c>
      <c r="H37" s="19">
        <f ca="1">_xldudf_CBONDS_CBONDSINDEXVALUE(13841,$E$3)</f>
        <v>269.82</v>
      </c>
      <c r="I37" s="19">
        <f ca="1">_xldudf_CBONDS_CBONDSINDEXVALUE(13903,$E$3)</f>
        <v>297.63</v>
      </c>
      <c r="J37" s="19">
        <f ca="1">_xldudf_CBONDS_CBONDSINDEXVALUE(13965,$E$3)</f>
        <v>334.38</v>
      </c>
      <c r="K37" s="19">
        <f ca="1">_xldudf_CBONDS_CBONDSINDEXVALUE(14027,$E$3)</f>
        <v>355.51</v>
      </c>
      <c r="L37" s="19">
        <f ca="1">_xldudf_CBONDS_CBONDSINDEXVALUE(14089,$E$3)</f>
        <v>375.9</v>
      </c>
      <c r="M37" s="19">
        <f ca="1">_xldudf_CBONDS_CBONDSINDEXVALUE(14151,$E$3)</f>
        <v>384.72</v>
      </c>
      <c r="N37" s="19">
        <f ca="1">_xldudf_CBONDS_CBONDSINDEXVALUE(14213,$E$3)</f>
        <v>390.54</v>
      </c>
    </row>
    <row r="38" spans="1:14" x14ac:dyDescent="0.2">
      <c r="A38" s="41" t="s">
        <v>48</v>
      </c>
      <c r="B38" s="3"/>
      <c r="C38" s="8"/>
      <c r="D38" s="21">
        <f ca="1">_xldudf_CBONDS_CBONDSINDEXVALUE(13571,$E$3)</f>
        <v>8.25</v>
      </c>
      <c r="E38" s="21">
        <f ca="1">_xldudf_CBONDS_CBONDSINDEXVALUE(13633,$E$3)</f>
        <v>11.4</v>
      </c>
      <c r="F38" s="21">
        <f ca="1">_xldudf_CBONDS_CBONDSINDEXVALUE(13695,$E$3)</f>
        <v>17.21</v>
      </c>
      <c r="G38" s="21">
        <f ca="1">_xldudf_CBONDS_CBONDSINDEXVALUE(13757,$E$3)</f>
        <v>25.15</v>
      </c>
      <c r="H38" s="21">
        <f ca="1">_xldudf_CBONDS_CBONDSINDEXVALUE(13819,$E$3)</f>
        <v>33.07</v>
      </c>
      <c r="I38" s="21">
        <f ca="1">_xldudf_CBONDS_CBONDSINDEXVALUE(13881,$E$3)</f>
        <v>41.24</v>
      </c>
      <c r="J38" s="21">
        <f ca="1">_xldudf_CBONDS_CBONDSINDEXVALUE(13943,$E$3)</f>
        <v>58.33</v>
      </c>
      <c r="K38" s="21">
        <f ca="1">_xldudf_CBONDS_CBONDSINDEXVALUE(14005,$E$3)</f>
        <v>74.19</v>
      </c>
      <c r="L38" s="21">
        <f ca="1">_xldudf_CBONDS_CBONDSINDEXVALUE(14067,$E$3)</f>
        <v>87.6</v>
      </c>
      <c r="M38" s="21">
        <f ca="1">_xldudf_CBONDS_CBONDSINDEXVALUE(14129,$E$3)</f>
        <v>95.47</v>
      </c>
      <c r="N38" s="21">
        <f ca="1">_xldudf_CBONDS_CBONDSINDEXVALUE(14191,$E$3)</f>
        <v>102.32</v>
      </c>
    </row>
    <row r="39" spans="1:14" x14ac:dyDescent="0.2">
      <c r="A39" s="12" t="s">
        <v>49</v>
      </c>
      <c r="B39" s="4"/>
      <c r="C39" s="9"/>
      <c r="D39" s="19">
        <f ca="1">_xldudf_CBONDS_CBONDSINDEXVALUE(24013,$E$3)</f>
        <v>6.96</v>
      </c>
      <c r="E39" s="19">
        <f ca="1">_xldudf_CBONDS_CBONDSINDEXVALUE(24015,$E$3)</f>
        <v>11.52</v>
      </c>
      <c r="F39" s="19">
        <f ca="1">_xldudf_CBONDS_CBONDSINDEXVALUE(24017,$E$3)</f>
        <v>17.52</v>
      </c>
      <c r="G39" s="19">
        <f ca="1">_xldudf_CBONDS_CBONDSINDEXVALUE(24019,$E$3)</f>
        <v>25.03</v>
      </c>
      <c r="H39" s="19">
        <f ca="1">_xldudf_CBONDS_CBONDSINDEXVALUE(24021,$E$3)</f>
        <v>37</v>
      </c>
      <c r="I39" s="19">
        <f ca="1">_xldudf_CBONDS_CBONDSINDEXVALUE(24023,$E$3)</f>
        <v>49.12</v>
      </c>
      <c r="J39" s="19">
        <f ca="1">_xldudf_CBONDS_CBONDSINDEXVALUE(24025,$E$3)</f>
        <v>68.17</v>
      </c>
      <c r="K39" s="19">
        <f ca="1">_xldudf_CBONDS_CBONDSINDEXVALUE(24027,$E$3)</f>
        <v>85.39</v>
      </c>
      <c r="L39" s="19">
        <f ca="1">_xldudf_CBONDS_CBONDSINDEXVALUE(24029,$E$3)</f>
        <v>100.31</v>
      </c>
      <c r="M39" s="19">
        <f ca="1">_xldudf_CBONDS_CBONDSINDEXVALUE(24031,$E$3)</f>
        <v>108.44</v>
      </c>
      <c r="N39" s="19">
        <f ca="1">_xldudf_CBONDS_CBONDSINDEXVALUE(24033,$E$3)</f>
        <v>116.34</v>
      </c>
    </row>
    <row r="40" spans="1:14" x14ac:dyDescent="0.2">
      <c r="A40" s="41" t="s">
        <v>50</v>
      </c>
      <c r="B40" s="3"/>
      <c r="C40" s="8"/>
      <c r="D40" s="21">
        <f ca="1">_xldudf_CBONDS_CBONDSINDEXVALUE(23969,$E$3)</f>
        <v>136.31</v>
      </c>
      <c r="E40" s="21">
        <f ca="1">_xldudf_CBONDS_CBONDSINDEXVALUE(23971,$E$3)</f>
        <v>149.91</v>
      </c>
      <c r="F40" s="21">
        <f ca="1">_xldudf_CBONDS_CBONDSINDEXVALUE(23973,$E$3)</f>
        <v>220.8</v>
      </c>
      <c r="G40" s="21">
        <f ca="1">_xldudf_CBONDS_CBONDSINDEXVALUE(23975,$E$3)</f>
        <v>262.83999999999997</v>
      </c>
      <c r="H40" s="21">
        <f ca="1">_xldudf_CBONDS_CBONDSINDEXVALUE(23977,$E$3)</f>
        <v>287.39</v>
      </c>
      <c r="I40" s="21">
        <f ca="1">_xldudf_CBONDS_CBONDSINDEXVALUE(23979,$E$3)</f>
        <v>304.18</v>
      </c>
      <c r="J40" s="21">
        <f ca="1">_xldudf_CBONDS_CBONDSINDEXVALUE(23981,$E$3)</f>
        <v>330.56</v>
      </c>
      <c r="K40" s="21">
        <f ca="1">_xldudf_CBONDS_CBONDSINDEXVALUE(23983,$E$3)</f>
        <v>349.6</v>
      </c>
      <c r="L40" s="21">
        <f ca="1">_xldudf_CBONDS_CBONDSINDEXVALUE(23985,$E$3)</f>
        <v>357.2</v>
      </c>
      <c r="M40" s="21">
        <f ca="1">_xldudf_CBONDS_CBONDSINDEXVALUE(23987,$E$3)</f>
        <v>360.86</v>
      </c>
      <c r="N40" s="21">
        <f ca="1">_xldudf_CBONDS_CBONDSINDEXVALUE(23989,$E$3)</f>
        <v>363.59</v>
      </c>
    </row>
    <row r="41" spans="1:14" x14ac:dyDescent="0.2">
      <c r="A41" s="12" t="s">
        <v>51</v>
      </c>
      <c r="B41" s="4"/>
      <c r="C41" s="9"/>
      <c r="D41" s="19">
        <f ca="1">_xldudf_CBONDS_CBONDSINDEXVALUE(23925,$E$3)</f>
        <v>15.11</v>
      </c>
      <c r="E41" s="19">
        <f ca="1">_xldudf_CBONDS_CBONDSINDEXVALUE(23927,$E$3)</f>
        <v>17.04</v>
      </c>
      <c r="F41" s="19">
        <f ca="1">_xldudf_CBONDS_CBONDSINDEXVALUE(23929,$E$3)</f>
        <v>20.89</v>
      </c>
      <c r="G41" s="19">
        <f ca="1">_xldudf_CBONDS_CBONDSINDEXVALUE(23931,$E$3)</f>
        <v>25.55</v>
      </c>
      <c r="H41" s="19">
        <f ca="1">_xldudf_CBONDS_CBONDSINDEXVALUE(23933,$E$3)</f>
        <v>33.64</v>
      </c>
      <c r="I41" s="19">
        <f ca="1">_xldudf_CBONDS_CBONDSINDEXVALUE(23935,$E$3)</f>
        <v>44.13</v>
      </c>
      <c r="J41" s="19">
        <f ca="1">_xldudf_CBONDS_CBONDSINDEXVALUE(23937,$E$3)</f>
        <v>62.74</v>
      </c>
      <c r="K41" s="19">
        <f ca="1">_xldudf_CBONDS_CBONDSINDEXVALUE(23939,$E$3)</f>
        <v>77.37</v>
      </c>
      <c r="L41" s="19">
        <f ca="1">_xldudf_CBONDS_CBONDSINDEXVALUE(23941,$E$3)</f>
        <v>90.1</v>
      </c>
      <c r="M41" s="19">
        <f ca="1">_xldudf_CBONDS_CBONDSINDEXVALUE(23943,$E$3)</f>
        <v>96.34</v>
      </c>
      <c r="N41" s="19">
        <f ca="1">_xldudf_CBONDS_CBONDSINDEXVALUE(23945,$E$3)</f>
        <v>102.21</v>
      </c>
    </row>
    <row r="42" spans="1:14" x14ac:dyDescent="0.2">
      <c r="A42" s="41" t="s">
        <v>24</v>
      </c>
      <c r="B42" s="3"/>
      <c r="C42" s="8"/>
      <c r="D42" s="21">
        <f ca="1">_xldudf_CBONDS_CBONDSINDEXVALUE(23881,$E$3)</f>
        <v>15.33</v>
      </c>
      <c r="E42" s="21">
        <f ca="1">_xldudf_CBONDS_CBONDSINDEXVALUE(23883,$E$3)</f>
        <v>18.18</v>
      </c>
      <c r="F42" s="21">
        <f ca="1">_xldudf_CBONDS_CBONDSINDEXVALUE(23885,$E$3)</f>
        <v>23.44</v>
      </c>
      <c r="G42" s="21">
        <f ca="1">_xldudf_CBONDS_CBONDSINDEXVALUE(23887,$E$3)</f>
        <v>31.99</v>
      </c>
      <c r="H42" s="21">
        <f ca="1">_xldudf_CBONDS_CBONDSINDEXVALUE(23889,$E$3)</f>
        <v>46.17</v>
      </c>
      <c r="I42" s="21">
        <f ca="1">_xldudf_CBONDS_CBONDSINDEXVALUE(23891,$E$3)</f>
        <v>61.9</v>
      </c>
      <c r="J42" s="21">
        <f ca="1">_xldudf_CBONDS_CBONDSINDEXVALUE(23893,$E$3)</f>
        <v>87.21</v>
      </c>
      <c r="K42" s="21">
        <f ca="1">_xldudf_CBONDS_CBONDSINDEXVALUE(23895,$E$3)</f>
        <v>106.6</v>
      </c>
      <c r="L42" s="21">
        <f ca="1">_xldudf_CBONDS_CBONDSINDEXVALUE(23897,$E$3)</f>
        <v>124.79</v>
      </c>
      <c r="M42" s="21">
        <f ca="1">_xldudf_CBONDS_CBONDSINDEXVALUE(23899,$E$3)</f>
        <v>133.37</v>
      </c>
      <c r="N42" s="21">
        <f ca="1">_xldudf_CBONDS_CBONDSINDEXVALUE(23901,$E$3)</f>
        <v>141.09</v>
      </c>
    </row>
    <row r="43" spans="1:14" x14ac:dyDescent="0.2">
      <c r="A43" s="12" t="s">
        <v>25</v>
      </c>
      <c r="B43" s="4"/>
      <c r="C43" s="9"/>
      <c r="D43" s="19">
        <f ca="1">_xldudf_CBONDS_CBONDSINDEXVALUE(13547,$E$3)</f>
        <v>47.03</v>
      </c>
      <c r="E43" s="19">
        <f ca="1">_xldudf_CBONDS_CBONDSINDEXVALUE(13609,$E$3)</f>
        <v>69.349999999999994</v>
      </c>
      <c r="F43" s="19">
        <f ca="1">_xldudf_CBONDS_CBONDSINDEXVALUE(13671,$E$3)</f>
        <v>104.88</v>
      </c>
      <c r="G43" s="19">
        <f ca="1">_xldudf_CBONDS_CBONDSINDEXVALUE(13733,$E$3)</f>
        <v>145.82</v>
      </c>
      <c r="H43" s="19">
        <f ca="1">_xldudf_CBONDS_CBONDSINDEXVALUE(13795,$E$3)</f>
        <v>180.81</v>
      </c>
      <c r="I43" s="19">
        <f ca="1">_xldudf_CBONDS_CBONDSINDEXVALUE(13857,$E$3)</f>
        <v>211.03</v>
      </c>
      <c r="J43" s="19">
        <f ca="1">_xldudf_CBONDS_CBONDSINDEXVALUE(13919,$E$3)</f>
        <v>256.04000000000002</v>
      </c>
      <c r="K43" s="19">
        <f ca="1">_xldudf_CBONDS_CBONDSINDEXVALUE(13981,$E$3)</f>
        <v>289.73</v>
      </c>
      <c r="L43" s="19">
        <f ca="1">_xldudf_CBONDS_CBONDSINDEXVALUE(14043,$E$3)</f>
        <v>314.89</v>
      </c>
      <c r="M43" s="19">
        <f ca="1">_xldudf_CBONDS_CBONDSINDEXVALUE(14105,$E$3)</f>
        <v>325.11</v>
      </c>
      <c r="N43" s="19">
        <f ca="1">_xldudf_CBONDS_CBONDSINDEXVALUE(14167,$E$3)</f>
        <v>331.99</v>
      </c>
    </row>
    <row r="44" spans="1:14" ht="16" thickBot="1" x14ac:dyDescent="0.25">
      <c r="A44" s="41" t="s">
        <v>46</v>
      </c>
      <c r="B44" s="3"/>
      <c r="C44" s="8"/>
      <c r="D44" s="21">
        <f ca="1">_xldudf_CBONDS_CBONDSINDEXVALUE(13551,$E$3)</f>
        <v>17.489999999999998</v>
      </c>
      <c r="E44" s="21">
        <f ca="1">_xldudf_CBONDS_CBONDSINDEXVALUE(13613,$E$3)</f>
        <v>23.11</v>
      </c>
      <c r="F44" s="21">
        <f ca="1">_xldudf_CBONDS_CBONDSINDEXVALUE(13675,$E$3)</f>
        <v>32.5</v>
      </c>
      <c r="G44" s="21">
        <f ca="1">_xldudf_CBONDS_CBONDSINDEXVALUE(13737,$E$3)</f>
        <v>43.11</v>
      </c>
      <c r="H44" s="21">
        <f ca="1">_xldudf_CBONDS_CBONDSINDEXVALUE(13799,$E$3)</f>
        <v>55.22</v>
      </c>
      <c r="I44" s="21">
        <f ca="1">_xldudf_CBONDS_CBONDSINDEXVALUE(13861,$E$3)</f>
        <v>67.03</v>
      </c>
      <c r="J44" s="21">
        <f ca="1">_xldudf_CBONDS_CBONDSINDEXVALUE(13923,$E$3)</f>
        <v>83.85</v>
      </c>
      <c r="K44" s="21">
        <f ca="1">_xldudf_CBONDS_CBONDSINDEXVALUE(13985,$E$3)</f>
        <v>90.45</v>
      </c>
      <c r="L44" s="21">
        <f ca="1">_xldudf_CBONDS_CBONDSINDEXVALUE(14047,$E$3)</f>
        <v>94.78</v>
      </c>
      <c r="M44" s="21">
        <f ca="1">_xldudf_CBONDS_CBONDSINDEXVALUE(14109,$E$3)</f>
        <v>96.07</v>
      </c>
      <c r="N44" s="21">
        <f ca="1">_xldudf_CBONDS_CBONDSINDEXVALUE(14171,$E$3)</f>
        <v>96.14</v>
      </c>
    </row>
    <row r="45" spans="1:14" ht="16" thickBo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">
      <c r="A46" s="23"/>
      <c r="B46" s="24"/>
      <c r="C46" s="25"/>
      <c r="D46" s="26"/>
      <c r="E46" s="26"/>
      <c r="F46" s="26"/>
      <c r="G46" s="26"/>
      <c r="H46" s="19"/>
      <c r="I46" s="20"/>
    </row>
    <row r="47" spans="1:14" x14ac:dyDescent="0.2">
      <c r="A47" s="27"/>
      <c r="B47" s="27"/>
      <c r="C47" s="27"/>
      <c r="D47" s="27"/>
      <c r="E47" s="28"/>
      <c r="F47" s="28"/>
      <c r="G47" s="28"/>
      <c r="H47" s="17"/>
      <c r="I47" s="14"/>
    </row>
    <row r="48" spans="1:14" x14ac:dyDescent="0.2">
      <c r="A48" s="27"/>
      <c r="B48" s="27"/>
      <c r="C48" s="27"/>
      <c r="D48" s="27"/>
      <c r="E48" s="28"/>
      <c r="F48" s="28"/>
      <c r="G48" s="28"/>
      <c r="H48" s="17"/>
    </row>
    <row r="49" spans="1:9" x14ac:dyDescent="0.2">
      <c r="A49" s="29"/>
      <c r="B49" s="28"/>
      <c r="C49" s="30"/>
      <c r="D49" s="27"/>
      <c r="E49" s="28"/>
      <c r="F49" s="28"/>
      <c r="G49" s="28"/>
      <c r="H49" s="17"/>
      <c r="I49" s="14"/>
    </row>
    <row r="50" spans="1:9" collapsed="1" x14ac:dyDescent="0.2">
      <c r="A50" s="31"/>
      <c r="B50" s="28"/>
      <c r="C50" s="30"/>
      <c r="D50" s="27"/>
      <c r="E50" s="28"/>
      <c r="F50" s="28"/>
      <c r="G50" s="28"/>
      <c r="H50" s="17"/>
      <c r="I50" s="14"/>
    </row>
    <row r="51" spans="1:9" x14ac:dyDescent="0.2">
      <c r="A51" s="29"/>
      <c r="B51" s="28"/>
      <c r="C51" s="30"/>
      <c r="D51" s="27"/>
      <c r="E51" s="28"/>
      <c r="F51" s="28"/>
      <c r="G51" s="28"/>
      <c r="H51" s="17"/>
      <c r="I51" s="14"/>
    </row>
    <row r="52" spans="1:9" x14ac:dyDescent="0.2">
      <c r="A52" s="31"/>
      <c r="B52" s="28"/>
      <c r="C52" s="30"/>
      <c r="D52" s="27"/>
      <c r="E52" s="28"/>
      <c r="F52" s="28"/>
      <c r="G52" s="28"/>
      <c r="H52" s="17"/>
      <c r="I52" s="14"/>
    </row>
    <row r="53" spans="1:9" x14ac:dyDescent="0.2">
      <c r="A53" s="29"/>
      <c r="B53" s="28"/>
      <c r="C53" s="30"/>
      <c r="D53" s="27"/>
      <c r="E53" s="28"/>
      <c r="F53" s="28"/>
      <c r="G53" s="28"/>
      <c r="H53" s="17"/>
      <c r="I53" s="14"/>
    </row>
    <row r="54" spans="1:9" x14ac:dyDescent="0.2">
      <c r="A54" s="31"/>
      <c r="B54" s="28"/>
      <c r="C54" s="30"/>
      <c r="D54" s="27"/>
      <c r="E54" s="28"/>
      <c r="F54" s="28"/>
      <c r="G54" s="28"/>
      <c r="H54" s="17"/>
      <c r="I54" s="14"/>
    </row>
    <row r="55" spans="1:9" x14ac:dyDescent="0.2">
      <c r="A55" s="29"/>
      <c r="B55" s="28"/>
      <c r="C55" s="30"/>
      <c r="D55" s="27"/>
      <c r="E55" s="28"/>
      <c r="F55" s="28"/>
      <c r="G55" s="28"/>
      <c r="H55" s="17"/>
      <c r="I55" s="14"/>
    </row>
    <row r="56" spans="1:9" x14ac:dyDescent="0.2">
      <c r="A56" s="31"/>
      <c r="B56" s="28"/>
      <c r="C56" s="30"/>
      <c r="D56" s="27"/>
      <c r="E56" s="28"/>
      <c r="F56" s="28"/>
      <c r="G56" s="28"/>
      <c r="H56" s="17"/>
      <c r="I56" s="14"/>
    </row>
    <row r="57" spans="1:9" x14ac:dyDescent="0.2">
      <c r="A57" s="31"/>
      <c r="B57" s="28"/>
      <c r="C57" s="30"/>
      <c r="D57" s="27"/>
      <c r="E57" s="28"/>
      <c r="F57" s="28"/>
      <c r="G57" s="28"/>
      <c r="H57" s="17"/>
      <c r="I57" s="14"/>
    </row>
    <row r="58" spans="1:9" x14ac:dyDescent="0.2">
      <c r="A58" s="29"/>
      <c r="B58" s="28"/>
      <c r="C58" s="30"/>
      <c r="D58" s="27"/>
      <c r="E58" s="28"/>
      <c r="F58" s="28"/>
      <c r="G58" s="28"/>
      <c r="H58" s="17"/>
      <c r="I58" s="14"/>
    </row>
    <row r="59" spans="1:9" x14ac:dyDescent="0.2">
      <c r="A59" s="27"/>
      <c r="B59" s="28"/>
      <c r="C59" s="30"/>
      <c r="D59" s="27"/>
      <c r="E59" s="28"/>
      <c r="F59" s="28"/>
      <c r="G59" s="28"/>
      <c r="H59" s="17"/>
      <c r="I59" s="14"/>
    </row>
    <row r="60" spans="1:9" x14ac:dyDescent="0.2">
      <c r="A60" s="27"/>
      <c r="B60" s="28"/>
      <c r="C60" s="35"/>
      <c r="D60" s="27"/>
      <c r="E60" s="28"/>
      <c r="F60" s="28"/>
      <c r="G60" s="28"/>
      <c r="H60" s="17"/>
      <c r="I60" s="14"/>
    </row>
    <row r="61" spans="1:9" x14ac:dyDescent="0.2">
      <c r="A61" s="27"/>
      <c r="B61" s="27"/>
      <c r="C61" s="30"/>
      <c r="D61" s="27"/>
      <c r="E61" s="28"/>
      <c r="F61" s="28"/>
      <c r="G61" s="28"/>
      <c r="H61" s="17"/>
      <c r="I61" s="14"/>
    </row>
    <row r="62" spans="1:9" collapsed="1" x14ac:dyDescent="0.2">
      <c r="A62" s="31"/>
      <c r="B62" s="27"/>
      <c r="C62" s="32"/>
      <c r="D62" s="27"/>
      <c r="E62" s="28"/>
      <c r="F62" s="28"/>
      <c r="G62" s="28"/>
      <c r="H62" s="17"/>
      <c r="I62" s="14"/>
    </row>
    <row r="63" spans="1:9" x14ac:dyDescent="0.2">
      <c r="A63" s="29"/>
      <c r="B63" s="27"/>
      <c r="C63" s="32"/>
      <c r="D63" s="27"/>
      <c r="E63" s="28"/>
      <c r="F63" s="28"/>
      <c r="G63" s="28"/>
      <c r="H63" s="17"/>
      <c r="I63" s="14"/>
    </row>
    <row r="64" spans="1:9" x14ac:dyDescent="0.2">
      <c r="A64" s="31"/>
      <c r="B64" s="27"/>
      <c r="C64" s="32"/>
      <c r="D64" s="27"/>
      <c r="E64" s="28"/>
      <c r="F64" s="28"/>
      <c r="G64" s="28"/>
      <c r="H64" s="17"/>
      <c r="I64" s="14"/>
    </row>
    <row r="65" spans="1:9" x14ac:dyDescent="0.2">
      <c r="A65" s="31"/>
      <c r="B65" s="27"/>
      <c r="C65" s="32"/>
      <c r="D65" s="27"/>
      <c r="E65" s="28"/>
      <c r="F65" s="28"/>
      <c r="G65" s="28"/>
      <c r="H65" s="17"/>
      <c r="I65" s="14"/>
    </row>
    <row r="66" spans="1:9" collapsed="1" x14ac:dyDescent="0.2">
      <c r="A66" s="29"/>
      <c r="B66" s="27"/>
      <c r="C66" s="32"/>
      <c r="D66" s="27"/>
      <c r="E66" s="28"/>
      <c r="F66" s="28"/>
      <c r="G66" s="28"/>
      <c r="H66" s="17"/>
      <c r="I66" s="14"/>
    </row>
    <row r="67" spans="1:9" x14ac:dyDescent="0.2">
      <c r="A67" s="27"/>
      <c r="B67" s="27"/>
      <c r="C67" s="32"/>
      <c r="D67" s="27"/>
      <c r="E67" s="28"/>
      <c r="F67" s="28"/>
      <c r="G67" s="28"/>
      <c r="H67" s="17"/>
      <c r="I67" s="14"/>
    </row>
    <row r="68" spans="1:9" x14ac:dyDescent="0.2">
      <c r="A68" s="27"/>
      <c r="B68" s="27"/>
      <c r="C68" s="30"/>
      <c r="D68" s="27"/>
      <c r="E68" s="28"/>
      <c r="F68" s="28"/>
      <c r="G68" s="28"/>
      <c r="H68" s="17"/>
      <c r="I68" s="14"/>
    </row>
    <row r="69" spans="1:9" x14ac:dyDescent="0.2">
      <c r="A69" s="27"/>
      <c r="B69" s="27"/>
      <c r="C69" s="30"/>
      <c r="D69" s="27"/>
      <c r="E69" s="28"/>
      <c r="F69" s="28"/>
      <c r="G69" s="28"/>
      <c r="H69" s="17"/>
      <c r="I69" s="14"/>
    </row>
    <row r="70" spans="1:9" collapsed="1" x14ac:dyDescent="0.2">
      <c r="A70" s="27"/>
      <c r="B70" s="27"/>
      <c r="C70" s="30"/>
      <c r="D70" s="27"/>
      <c r="E70" s="28"/>
      <c r="F70" s="28"/>
      <c r="G70" s="28"/>
      <c r="H70" s="17"/>
      <c r="I70" s="14"/>
    </row>
    <row r="71" spans="1:9" x14ac:dyDescent="0.2">
      <c r="A71" s="27"/>
      <c r="B71" s="27"/>
      <c r="C71" s="32"/>
      <c r="D71" s="27"/>
      <c r="E71" s="28"/>
      <c r="F71" s="28"/>
      <c r="G71" s="28"/>
      <c r="H71" s="17"/>
      <c r="I71" s="14"/>
    </row>
    <row r="72" spans="1:9" x14ac:dyDescent="0.2">
      <c r="A72" s="27"/>
      <c r="B72" s="27"/>
      <c r="C72" s="32"/>
      <c r="D72" s="22"/>
      <c r="E72" s="17"/>
      <c r="F72" s="17"/>
      <c r="G72" s="17"/>
      <c r="H72" s="17"/>
      <c r="I72" s="14"/>
    </row>
    <row r="73" spans="1:9" x14ac:dyDescent="0.2">
      <c r="A73" s="27"/>
      <c r="B73" s="27"/>
      <c r="C73" s="27"/>
      <c r="D73" s="22"/>
      <c r="E73" s="17"/>
      <c r="F73" s="17"/>
      <c r="G73" s="17"/>
      <c r="H73" s="17"/>
      <c r="I73" s="14"/>
    </row>
    <row r="74" spans="1:9" collapsed="1" x14ac:dyDescent="0.2">
      <c r="A74" s="27"/>
      <c r="B74" s="27"/>
      <c r="C74" s="27"/>
      <c r="D74" s="18"/>
      <c r="E74" s="17"/>
      <c r="F74" s="17"/>
      <c r="G74" s="17"/>
      <c r="H74" s="17"/>
      <c r="I74" s="14"/>
    </row>
    <row r="75" spans="1:9" x14ac:dyDescent="0.2">
      <c r="A75" s="27"/>
      <c r="B75" s="27"/>
      <c r="C75" s="27"/>
      <c r="D75" s="18"/>
      <c r="E75" s="17"/>
      <c r="F75" s="17"/>
      <c r="G75" s="17"/>
      <c r="H75" s="17"/>
      <c r="I75" s="14"/>
    </row>
    <row r="76" spans="1:9" x14ac:dyDescent="0.2">
      <c r="A76" s="28"/>
      <c r="B76" s="28"/>
      <c r="C76" s="28"/>
      <c r="D76" s="17"/>
      <c r="E76" s="17"/>
      <c r="F76" s="17"/>
      <c r="G76" s="17"/>
      <c r="H76" s="17"/>
      <c r="I76" s="14"/>
    </row>
    <row r="77" spans="1:9" x14ac:dyDescent="0.2">
      <c r="A77" s="28"/>
      <c r="B77" s="28"/>
      <c r="C77" s="28"/>
      <c r="D77" s="17"/>
      <c r="E77" s="17"/>
      <c r="F77" s="17"/>
      <c r="G77" s="17"/>
      <c r="H77" s="17"/>
      <c r="I77" s="14"/>
    </row>
    <row r="78" spans="1:9" collapsed="1" x14ac:dyDescent="0.2">
      <c r="A78" s="31"/>
      <c r="B78" s="28"/>
      <c r="C78" s="36"/>
    </row>
    <row r="79" spans="1:9" x14ac:dyDescent="0.2">
      <c r="A79" s="37"/>
      <c r="B79" s="28"/>
      <c r="C79" s="28"/>
    </row>
    <row r="80" spans="1:9" x14ac:dyDescent="0.2">
      <c r="A80" s="27"/>
      <c r="B80" s="28"/>
      <c r="C80" s="28"/>
    </row>
    <row r="81" spans="1:3" x14ac:dyDescent="0.2">
      <c r="A81" s="37"/>
      <c r="B81" s="28"/>
      <c r="C81" s="28"/>
    </row>
    <row r="82" spans="1:3" collapsed="1" x14ac:dyDescent="0.2">
      <c r="A82" s="38"/>
      <c r="B82" s="28"/>
      <c r="C82" s="28"/>
    </row>
    <row r="83" spans="1:3" x14ac:dyDescent="0.2">
      <c r="A83" s="27"/>
      <c r="B83" s="28"/>
      <c r="C83" s="28"/>
    </row>
    <row r="84" spans="1:3" x14ac:dyDescent="0.2">
      <c r="A84" s="16"/>
    </row>
    <row r="85" spans="1:3" x14ac:dyDescent="0.2">
      <c r="A85" s="15"/>
    </row>
    <row r="86" spans="1:3" x14ac:dyDescent="0.2">
      <c r="A86" s="13"/>
    </row>
    <row r="87" spans="1:3" x14ac:dyDescent="0.2">
      <c r="A87" s="13"/>
    </row>
    <row r="90" spans="1:3" collapsed="1" x14ac:dyDescent="0.2"/>
    <row r="94" spans="1:3" collapsed="1" x14ac:dyDescent="0.2"/>
    <row r="102" collapsed="1" x14ac:dyDescent="0.2"/>
    <row r="106" collapsed="1" x14ac:dyDescent="0.2"/>
    <row r="128" collapsed="1" x14ac:dyDescent="0.2"/>
    <row r="131" spans="10:12" x14ac:dyDescent="0.2">
      <c r="J131" s="17"/>
      <c r="K131" s="17"/>
      <c r="L131" s="17"/>
    </row>
    <row r="132" spans="10:12" collapsed="1" x14ac:dyDescent="0.2">
      <c r="J132" s="17"/>
      <c r="K132" s="17"/>
      <c r="L132" s="17"/>
    </row>
    <row r="133" spans="10:12" x14ac:dyDescent="0.2">
      <c r="J133" s="17"/>
      <c r="K133" s="17"/>
      <c r="L133" s="17"/>
    </row>
    <row r="134" spans="10:12" x14ac:dyDescent="0.2">
      <c r="J134" s="17"/>
      <c r="K134" s="17"/>
      <c r="L134" s="17"/>
    </row>
    <row r="135" spans="10:12" x14ac:dyDescent="0.2">
      <c r="J135" s="17"/>
      <c r="K135" s="17"/>
      <c r="L135" s="17"/>
    </row>
    <row r="136" spans="10:12" x14ac:dyDescent="0.2">
      <c r="J136" s="17"/>
      <c r="K136" s="17"/>
      <c r="L136" s="17"/>
    </row>
    <row r="137" spans="10:12" collapsed="1" x14ac:dyDescent="0.2">
      <c r="J137" s="17"/>
      <c r="K137" s="17"/>
      <c r="L137" s="17"/>
    </row>
    <row r="138" spans="10:12" x14ac:dyDescent="0.2">
      <c r="J138" s="17"/>
      <c r="K138" s="17"/>
      <c r="L138" s="17"/>
    </row>
    <row r="139" spans="10:12" x14ac:dyDescent="0.2">
      <c r="J139" s="17"/>
      <c r="K139" s="17"/>
      <c r="L139" s="17"/>
    </row>
    <row r="140" spans="10:12" x14ac:dyDescent="0.2">
      <c r="J140" s="17"/>
      <c r="K140" s="17"/>
      <c r="L140" s="17"/>
    </row>
    <row r="141" spans="10:12" x14ac:dyDescent="0.2">
      <c r="J141" s="17"/>
      <c r="K141" s="17"/>
      <c r="L141" s="17"/>
    </row>
    <row r="142" spans="10:12" x14ac:dyDescent="0.2">
      <c r="J142" s="17"/>
      <c r="K142" s="17"/>
      <c r="L142" s="17"/>
    </row>
    <row r="143" spans="10:12" x14ac:dyDescent="0.2">
      <c r="J143" s="17"/>
      <c r="K143" s="17"/>
      <c r="L143" s="17"/>
    </row>
    <row r="144" spans="10:12" x14ac:dyDescent="0.2">
      <c r="J144" s="17"/>
      <c r="K144" s="17"/>
      <c r="L144" s="17"/>
    </row>
    <row r="145" spans="10:12" x14ac:dyDescent="0.2">
      <c r="J145" s="17"/>
      <c r="K145" s="17"/>
      <c r="L145" s="17"/>
    </row>
    <row r="146" spans="10:12" x14ac:dyDescent="0.2">
      <c r="J146" s="17"/>
      <c r="K146" s="17"/>
      <c r="L146" s="17"/>
    </row>
    <row r="147" spans="10:12" x14ac:dyDescent="0.2">
      <c r="J147" s="17"/>
      <c r="K147" s="17"/>
      <c r="L147" s="17"/>
    </row>
    <row r="148" spans="10:12" x14ac:dyDescent="0.2">
      <c r="J148" s="17"/>
      <c r="K148" s="17"/>
      <c r="L148" s="17"/>
    </row>
    <row r="149" spans="10:12" x14ac:dyDescent="0.2">
      <c r="J149" s="17"/>
      <c r="K149" s="17"/>
      <c r="L149" s="17"/>
    </row>
    <row r="150" spans="10:12" x14ac:dyDescent="0.2">
      <c r="J150" s="17"/>
      <c r="K150" s="17"/>
      <c r="L150" s="17"/>
    </row>
    <row r="151" spans="10:12" x14ac:dyDescent="0.2">
      <c r="J151" s="17"/>
      <c r="K151" s="17"/>
      <c r="L151" s="17"/>
    </row>
    <row r="152" spans="10:12" x14ac:dyDescent="0.2">
      <c r="J152" s="17"/>
      <c r="K152" s="17"/>
      <c r="L152" s="17"/>
    </row>
    <row r="153" spans="10:12" x14ac:dyDescent="0.2">
      <c r="J153" s="17"/>
      <c r="K153" s="17"/>
      <c r="L153" s="17"/>
    </row>
    <row r="154" spans="10:12" x14ac:dyDescent="0.2">
      <c r="J154" s="17"/>
      <c r="K154" s="17"/>
      <c r="L154" s="17"/>
    </row>
    <row r="155" spans="10:12" x14ac:dyDescent="0.2">
      <c r="J155" s="17"/>
      <c r="K155" s="17"/>
      <c r="L155" s="17"/>
    </row>
    <row r="156" spans="10:12" x14ac:dyDescent="0.2">
      <c r="J156" s="17"/>
      <c r="K156" s="17"/>
      <c r="L156" s="17"/>
    </row>
    <row r="157" spans="10:12" x14ac:dyDescent="0.2">
      <c r="J157" s="17"/>
      <c r="K157" s="17"/>
      <c r="L157" s="17"/>
    </row>
    <row r="158" spans="10:12" x14ac:dyDescent="0.2">
      <c r="J158" s="17"/>
      <c r="K158" s="17"/>
      <c r="L158" s="17"/>
    </row>
    <row r="159" spans="10:12" x14ac:dyDescent="0.2">
      <c r="J159" s="17"/>
      <c r="K159" s="17"/>
      <c r="L159" s="17"/>
    </row>
    <row r="160" spans="10:12" x14ac:dyDescent="0.2">
      <c r="J160" s="17"/>
      <c r="K160" s="17"/>
      <c r="L160" s="17"/>
    </row>
    <row r="161" spans="10:12" x14ac:dyDescent="0.2">
      <c r="J161" s="17"/>
      <c r="K161" s="17"/>
      <c r="L161" s="17"/>
    </row>
  </sheetData>
  <hyperlinks>
    <hyperlink ref="E1" r:id="rId1" xr:uid="{00000000-0004-0000-0000-00000000000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EMCDSStats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Cbonds Team</dc:creator>
  <cp:keywords>облигации; стастистика; Россия</cp:keywords>
  <cp:lastModifiedBy>Microsoft Office User</cp:lastModifiedBy>
  <dcterms:created xsi:type="dcterms:W3CDTF">2019-03-25T14:23:11Z</dcterms:created>
  <dcterms:modified xsi:type="dcterms:W3CDTF">2021-03-12T08:39:50Z</dcterms:modified>
</cp:coreProperties>
</file>